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cktigervi/Documents/AlleAktien/DCF/"/>
    </mc:Choice>
  </mc:AlternateContent>
  <xr:revisionPtr revIDLastSave="0" documentId="8_{039338F1-A307-6849-BAFB-7CF68CFBF24A}" xr6:coauthVersionLast="47" xr6:coauthVersionMax="47" xr10:uidLastSave="{00000000-0000-0000-0000-000000000000}"/>
  <bookViews>
    <workbookView xWindow="780" yWindow="1000" windowWidth="27640" windowHeight="16440" xr2:uid="{A0147878-C676-0B45-B422-F09F85EBB6F6}"/>
  </bookViews>
  <sheets>
    <sheet name="AlleAktie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C22" i="1"/>
  <c r="J25" i="1" s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J13" i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G13" i="1"/>
  <c r="F13" i="1"/>
  <c r="D13" i="1"/>
  <c r="C13" i="1"/>
  <c r="T12" i="1"/>
  <c r="U12" i="1" s="1"/>
  <c r="V12" i="1" s="1"/>
  <c r="W12" i="1" s="1"/>
  <c r="X12" i="1" s="1"/>
  <c r="Y12" i="1" s="1"/>
  <c r="Z12" i="1" s="1"/>
  <c r="AA12" i="1" s="1"/>
  <c r="AB12" i="1" s="1"/>
  <c r="M12" i="1"/>
  <c r="N12" i="1" s="1"/>
  <c r="O12" i="1" s="1"/>
  <c r="P12" i="1" s="1"/>
  <c r="Q12" i="1" s="1"/>
  <c r="R12" i="1" s="1"/>
  <c r="G12" i="1"/>
  <c r="H11" i="1"/>
  <c r="I11" i="1" s="1"/>
  <c r="E11" i="1"/>
  <c r="E13" i="1" s="1"/>
  <c r="D11" i="1"/>
  <c r="C11" i="1"/>
  <c r="D12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J11" i="1" l="1"/>
  <c r="I14" i="1"/>
  <c r="I17" i="1" s="1"/>
  <c r="F12" i="1"/>
  <c r="H14" i="1"/>
  <c r="H17" i="1" s="1"/>
  <c r="E12" i="1"/>
  <c r="J14" i="1" l="1"/>
  <c r="J17" i="1" s="1"/>
  <c r="K11" i="1"/>
  <c r="K14" i="1" l="1"/>
  <c r="K17" i="1" s="1"/>
  <c r="L11" i="1"/>
  <c r="M11" i="1" l="1"/>
  <c r="L14" i="1"/>
  <c r="L17" i="1" s="1"/>
  <c r="N11" i="1" l="1"/>
  <c r="M14" i="1"/>
  <c r="M17" i="1" s="1"/>
  <c r="N14" i="1" l="1"/>
  <c r="N17" i="1" s="1"/>
  <c r="O11" i="1"/>
  <c r="P11" i="1" l="1"/>
  <c r="O14" i="1"/>
  <c r="O17" i="1" s="1"/>
  <c r="Q11" i="1" l="1"/>
  <c r="P14" i="1"/>
  <c r="P17" i="1" s="1"/>
  <c r="R11" i="1" l="1"/>
  <c r="Q14" i="1"/>
  <c r="Q17" i="1" s="1"/>
  <c r="R14" i="1" l="1"/>
  <c r="R17" i="1" s="1"/>
  <c r="S11" i="1"/>
  <c r="T11" i="1" l="1"/>
  <c r="S14" i="1"/>
  <c r="S17" i="1" s="1"/>
  <c r="J22" i="1"/>
  <c r="J27" i="1" s="1"/>
  <c r="J26" i="1"/>
  <c r="J28" i="1" l="1"/>
  <c r="J29" i="1" s="1"/>
  <c r="U11" i="1"/>
  <c r="T14" i="1"/>
  <c r="T17" i="1" s="1"/>
  <c r="V11" i="1" l="1"/>
  <c r="U14" i="1"/>
  <c r="U17" i="1" s="1"/>
  <c r="V14" i="1" l="1"/>
  <c r="V17" i="1" s="1"/>
  <c r="W11" i="1"/>
  <c r="X11" i="1" l="1"/>
  <c r="W14" i="1"/>
  <c r="W17" i="1" s="1"/>
  <c r="Y11" i="1" l="1"/>
  <c r="X14" i="1"/>
  <c r="X17" i="1" s="1"/>
  <c r="Z11" i="1" l="1"/>
  <c r="Y14" i="1"/>
  <c r="Y17" i="1" s="1"/>
  <c r="Z14" i="1" l="1"/>
  <c r="Z17" i="1" s="1"/>
  <c r="AA11" i="1"/>
  <c r="AA14" i="1" l="1"/>
  <c r="AA17" i="1" s="1"/>
  <c r="AB11" i="1"/>
  <c r="AB14" i="1" s="1"/>
  <c r="AB17" i="1" s="1"/>
  <c r="D40" i="1" l="1"/>
  <c r="D36" i="1"/>
  <c r="D32" i="1"/>
  <c r="D39" i="1"/>
  <c r="D35" i="1"/>
  <c r="D38" i="1"/>
  <c r="D34" i="1"/>
  <c r="AC17" i="1"/>
  <c r="D22" i="1" s="1"/>
  <c r="D24" i="1" s="1"/>
  <c r="D25" i="1" s="1"/>
  <c r="D37" i="1"/>
  <c r="D33" i="1"/>
</calcChain>
</file>

<file path=xl/sharedStrings.xml><?xml version="1.0" encoding="utf-8"?>
<sst xmlns="http://schemas.openxmlformats.org/spreadsheetml/2006/main" count="37" uniqueCount="30">
  <si>
    <t>Alle Angaben in Mio. EUR</t>
  </si>
  <si>
    <t>Prognose »</t>
  </si>
  <si>
    <t>Terminal Value</t>
  </si>
  <si>
    <t>Fundamental</t>
  </si>
  <si>
    <t>Umsatz</t>
  </si>
  <si>
    <t>Umsatz-Wachstum, %</t>
  </si>
  <si>
    <t>EBIT-Marge, %</t>
  </si>
  <si>
    <t>EBIT</t>
  </si>
  <si>
    <t>Verschuldung</t>
  </si>
  <si>
    <t>Zinszahlung (4,9% Zinsen)</t>
  </si>
  <si>
    <t>Gewinn (30% Unternehmenssteuer)</t>
  </si>
  <si>
    <t>Fairer Wert</t>
  </si>
  <si>
    <t>AlleAktien Future Multiple Valuation (FMV)</t>
  </si>
  <si>
    <t>Bewertung</t>
  </si>
  <si>
    <t>Marktkapitalisierung, Mio.</t>
  </si>
  <si>
    <t>EUR</t>
  </si>
  <si>
    <t>Gewinn 2032, Mio.</t>
  </si>
  <si>
    <t>Anzahl Aktien (diluted), Mio.</t>
  </si>
  <si>
    <t>KGV 2032</t>
  </si>
  <si>
    <t>Kurs pro Aktie</t>
  </si>
  <si>
    <t>Ausschüttungsquote</t>
  </si>
  <si>
    <t>Unterbewertung</t>
  </si>
  <si>
    <t>Marktkap. heute, Mio.</t>
  </si>
  <si>
    <t>Dividenden bis 2032, Mio.</t>
  </si>
  <si>
    <t>Marktkap. 2032, Mio.</t>
  </si>
  <si>
    <t>Diskontierungsfaktor (WACC)</t>
  </si>
  <si>
    <t>Marktkap. + Div. 2032</t>
  </si>
  <si>
    <t>Gesamtrendite</t>
  </si>
  <si>
    <t>Renditeerwartung</t>
  </si>
  <si>
    <t>Renditetabelle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</si>
</sst>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dd\.mm\.yy;@"/>
    <numFmt numFmtId="166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BD5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9CF5D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2" borderId="0" xfId="0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2" borderId="0" xfId="0" applyNumberFormat="1" applyFill="1"/>
    <xf numFmtId="3" fontId="0" fillId="4" borderId="0" xfId="0" applyNumberFormat="1" applyFill="1"/>
    <xf numFmtId="9" fontId="0" fillId="4" borderId="0" xfId="1" applyFont="1" applyFill="1"/>
    <xf numFmtId="164" fontId="0" fillId="4" borderId="0" xfId="1" applyNumberFormat="1" applyFont="1" applyFill="1"/>
    <xf numFmtId="9" fontId="1" fillId="5" borderId="0" xfId="1" applyFont="1" applyFill="1"/>
    <xf numFmtId="3" fontId="0" fillId="5" borderId="0" xfId="0" applyNumberFormat="1" applyFill="1"/>
    <xf numFmtId="0" fontId="0" fillId="3" borderId="0" xfId="0" applyFill="1" applyAlignment="1">
      <alignment wrapText="1"/>
    </xf>
    <xf numFmtId="0" fontId="5" fillId="3" borderId="0" xfId="0" applyFont="1" applyFill="1"/>
    <xf numFmtId="164" fontId="5" fillId="3" borderId="0" xfId="1" applyNumberFormat="1" applyFont="1" applyFill="1"/>
    <xf numFmtId="3" fontId="0" fillId="0" borderId="0" xfId="0" applyNumberFormat="1"/>
    <xf numFmtId="9" fontId="5" fillId="3" borderId="0" xfId="1" applyFont="1" applyFill="1"/>
    <xf numFmtId="0" fontId="0" fillId="2" borderId="0" xfId="0" applyFill="1" applyAlignment="1">
      <alignment wrapText="1"/>
    </xf>
    <xf numFmtId="165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4" fontId="3" fillId="2" borderId="0" xfId="0" applyNumberFormat="1" applyFont="1" applyFill="1"/>
    <xf numFmtId="4" fontId="0" fillId="2" borderId="0" xfId="0" applyNumberFormat="1" applyFill="1"/>
    <xf numFmtId="4" fontId="0" fillId="4" borderId="0" xfId="0" applyNumberFormat="1" applyFill="1"/>
    <xf numFmtId="4" fontId="3" fillId="4" borderId="0" xfId="0" applyNumberFormat="1" applyFont="1" applyFill="1"/>
    <xf numFmtId="166" fontId="0" fillId="5" borderId="0" xfId="0" applyNumberFormat="1" applyFill="1"/>
    <xf numFmtId="166" fontId="0" fillId="4" borderId="0" xfId="0" applyNumberFormat="1" applyFill="1"/>
    <xf numFmtId="9" fontId="0" fillId="5" borderId="0" xfId="1" applyFont="1" applyFill="1"/>
    <xf numFmtId="0" fontId="4" fillId="3" borderId="0" xfId="0" quotePrefix="1" applyFont="1" applyFill="1"/>
    <xf numFmtId="9" fontId="0" fillId="6" borderId="0" xfId="1" applyFont="1" applyFill="1"/>
    <xf numFmtId="38" fontId="0" fillId="3" borderId="0" xfId="0" applyNumberFormat="1" applyFill="1"/>
    <xf numFmtId="3" fontId="4" fillId="3" borderId="0" xfId="0" quotePrefix="1" applyNumberFormat="1" applyFont="1" applyFill="1"/>
    <xf numFmtId="1" fontId="0" fillId="4" borderId="0" xfId="1" applyNumberFormat="1" applyFont="1" applyFill="1"/>
    <xf numFmtId="9" fontId="0" fillId="3" borderId="0" xfId="1" applyFont="1" applyFill="1"/>
    <xf numFmtId="1" fontId="1" fillId="4" borderId="0" xfId="1" applyNumberFormat="1" applyFont="1" applyFill="1"/>
    <xf numFmtId="0" fontId="3" fillId="2" borderId="0" xfId="0" applyFont="1" applyFill="1" applyAlignment="1">
      <alignment horizontal="right"/>
    </xf>
    <xf numFmtId="9" fontId="3" fillId="2" borderId="0" xfId="1" applyFont="1" applyFill="1"/>
  </cellXfs>
  <cellStyles count="2">
    <cellStyle name="Normal" xfId="0" builtinId="0"/>
    <cellStyle name="Per 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BAE4591-C2EC-3B4C-8C28-E01FE063EB41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3" name="Grafik 6">
          <a:extLst>
            <a:ext uri="{FF2B5EF4-FFF2-40B4-BE49-F238E27FC236}">
              <a16:creationId xmlns:a16="http://schemas.microsoft.com/office/drawing/2014/main" id="{27E08244-7BCA-A34A-896B-BE9D642C5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947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4" name="Grafik 7">
          <a:extLst>
            <a:ext uri="{FF2B5EF4-FFF2-40B4-BE49-F238E27FC236}">
              <a16:creationId xmlns:a16="http://schemas.microsoft.com/office/drawing/2014/main" id="{ED642ED0-3435-6540-A92A-91AA118AA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229350"/>
          <a:ext cx="612000" cy="6024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8">
          <a:extLst>
            <a:ext uri="{FF2B5EF4-FFF2-40B4-BE49-F238E27FC236}">
              <a16:creationId xmlns:a16="http://schemas.microsoft.com/office/drawing/2014/main" id="{90F52C50-3C15-324A-A869-71B98E417F44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6" name="Grafik 9">
          <a:extLst>
            <a:ext uri="{FF2B5EF4-FFF2-40B4-BE49-F238E27FC236}">
              <a16:creationId xmlns:a16="http://schemas.microsoft.com/office/drawing/2014/main" id="{3FB08B06-8463-F848-8A62-834EEB63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7" name="Grafik 10">
          <a:extLst>
            <a:ext uri="{FF2B5EF4-FFF2-40B4-BE49-F238E27FC236}">
              <a16:creationId xmlns:a16="http://schemas.microsoft.com/office/drawing/2014/main" id="{7C059CDA-6382-454D-8E2F-D4466C391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1645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1019135</xdr:colOff>
      <xdr:row>0</xdr:row>
      <xdr:rowOff>101097</xdr:rowOff>
    </xdr:from>
    <xdr:to>
      <xdr:col>1</xdr:col>
      <xdr:colOff>1756049</xdr:colOff>
      <xdr:row>4</xdr:row>
      <xdr:rowOff>95484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BE8FCEED-343A-054D-88B7-328A9980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149435" y="101097"/>
          <a:ext cx="736914" cy="807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putingservices-my.sharepoint.com/personal/lk613_bath_ac_uk/Documents/AlleAktien/Excel%20Data/Updates%20-%20Artikel/Crash%20Reports/AlleAktien%20Unilever%20Update%20Exce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Sheet1"/>
      <sheetName val="FRED Graph"/>
      <sheetName val="Brent"/>
      <sheetName val="Soybeans"/>
      <sheetName val="Income Statement"/>
      <sheetName val="AlleAktien"/>
      <sheetName val="Tabelle1"/>
    </sheetNames>
    <sheetDataSet>
      <sheetData sheetId="0">
        <row r="5">
          <cell r="I5">
            <v>53.7</v>
          </cell>
          <cell r="J5">
            <v>51</v>
          </cell>
          <cell r="K5">
            <v>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F1CE-EF8C-D446-BC8C-C2C2F890AE80}">
  <dimension ref="A1:CF41"/>
  <sheetViews>
    <sheetView tabSelected="1" zoomScale="96" zoomScaleNormal="90" workbookViewId="0">
      <selection activeCell="U43" sqref="U43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8" width="12.1640625" style="3" customWidth="1"/>
    <col min="9" max="27" width="10.6640625" style="3"/>
    <col min="28" max="28" width="11.5" style="3" customWidth="1"/>
    <col min="29" max="29" width="14.1640625" style="3" bestFit="1" customWidth="1"/>
    <col min="30" max="16384" width="10.6640625" style="3"/>
  </cols>
  <sheetData>
    <row r="1" spans="1:84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8" spans="1:84" x14ac:dyDescent="0.2">
      <c r="B8" s="3" t="s">
        <v>0</v>
      </c>
    </row>
    <row r="9" spans="1:84" x14ac:dyDescent="0.2">
      <c r="A9" s="1"/>
      <c r="B9" s="1"/>
      <c r="C9" s="1"/>
      <c r="D9" s="1"/>
      <c r="E9" s="1"/>
      <c r="F9" s="1"/>
      <c r="G9" s="1"/>
      <c r="H9" s="2" t="s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84" x14ac:dyDescent="0.2">
      <c r="A10" s="5"/>
      <c r="B10" s="5"/>
      <c r="C10" s="6">
        <v>2017</v>
      </c>
      <c r="D10" s="6">
        <f>C10+1</f>
        <v>2018</v>
      </c>
      <c r="E10" s="6">
        <f t="shared" ref="E10:AB10" si="0">D10+1</f>
        <v>2019</v>
      </c>
      <c r="F10" s="6">
        <f t="shared" si="0"/>
        <v>2020</v>
      </c>
      <c r="G10" s="6">
        <f t="shared" si="0"/>
        <v>2021</v>
      </c>
      <c r="H10" s="6">
        <f t="shared" si="0"/>
        <v>2022</v>
      </c>
      <c r="I10" s="6">
        <f t="shared" si="0"/>
        <v>2023</v>
      </c>
      <c r="J10" s="6">
        <f t="shared" si="0"/>
        <v>2024</v>
      </c>
      <c r="K10" s="6">
        <f t="shared" si="0"/>
        <v>2025</v>
      </c>
      <c r="L10" s="6">
        <f t="shared" si="0"/>
        <v>2026</v>
      </c>
      <c r="M10" s="6">
        <f t="shared" si="0"/>
        <v>2027</v>
      </c>
      <c r="N10" s="6">
        <f t="shared" si="0"/>
        <v>2028</v>
      </c>
      <c r="O10" s="6">
        <f t="shared" si="0"/>
        <v>2029</v>
      </c>
      <c r="P10" s="6">
        <f t="shared" si="0"/>
        <v>2030</v>
      </c>
      <c r="Q10" s="6">
        <f t="shared" si="0"/>
        <v>2031</v>
      </c>
      <c r="R10" s="6">
        <f t="shared" si="0"/>
        <v>2032</v>
      </c>
      <c r="S10" s="6">
        <f t="shared" si="0"/>
        <v>2033</v>
      </c>
      <c r="T10" s="6">
        <f t="shared" si="0"/>
        <v>2034</v>
      </c>
      <c r="U10" s="6">
        <f t="shared" si="0"/>
        <v>2035</v>
      </c>
      <c r="V10" s="6">
        <f t="shared" si="0"/>
        <v>2036</v>
      </c>
      <c r="W10" s="6">
        <f t="shared" si="0"/>
        <v>2037</v>
      </c>
      <c r="X10" s="6">
        <f t="shared" si="0"/>
        <v>2038</v>
      </c>
      <c r="Y10" s="6">
        <f t="shared" si="0"/>
        <v>2039</v>
      </c>
      <c r="Z10" s="6">
        <f t="shared" si="0"/>
        <v>2040</v>
      </c>
      <c r="AA10" s="6">
        <f t="shared" si="0"/>
        <v>2041</v>
      </c>
      <c r="AB10" s="6">
        <f t="shared" si="0"/>
        <v>2042</v>
      </c>
      <c r="AC10" s="6" t="s">
        <v>2</v>
      </c>
    </row>
    <row r="11" spans="1:84" ht="17" x14ac:dyDescent="0.2">
      <c r="A11" s="7" t="s">
        <v>3</v>
      </c>
      <c r="B11" s="5" t="s">
        <v>4</v>
      </c>
      <c r="C11" s="8">
        <f>'[1]Financial Data'!I5*1000</f>
        <v>53700</v>
      </c>
      <c r="D11" s="8">
        <f>'[1]Financial Data'!J5*1000</f>
        <v>51000</v>
      </c>
      <c r="E11" s="8">
        <f>'[1]Financial Data'!K5*1000</f>
        <v>52000</v>
      </c>
      <c r="F11" s="8">
        <v>50724</v>
      </c>
      <c r="G11" s="8">
        <v>52444</v>
      </c>
      <c r="H11" s="9">
        <f t="shared" ref="H11:J11" si="1">G11*(1+H12)</f>
        <v>55328.42</v>
      </c>
      <c r="I11" s="9">
        <f t="shared" si="1"/>
        <v>56932.944179999991</v>
      </c>
      <c r="J11" s="9">
        <f t="shared" si="1"/>
        <v>58640.932505399993</v>
      </c>
      <c r="K11" s="9">
        <f>J11*(1+K12)</f>
        <v>60400.160480561994</v>
      </c>
      <c r="L11" s="9">
        <f t="shared" ref="L11:AB11" si="2">K11*(1+L12)</f>
        <v>61910.164492576041</v>
      </c>
      <c r="M11" s="9">
        <f t="shared" si="2"/>
        <v>63457.918604890438</v>
      </c>
      <c r="N11" s="9">
        <f t="shared" si="2"/>
        <v>65044.366570012695</v>
      </c>
      <c r="O11" s="9">
        <f t="shared" si="2"/>
        <v>66670.475734263004</v>
      </c>
      <c r="P11" s="9">
        <f t="shared" si="2"/>
        <v>68337.237627619572</v>
      </c>
      <c r="Q11" s="9">
        <f t="shared" si="2"/>
        <v>70045.668568310051</v>
      </c>
      <c r="R11" s="9">
        <f t="shared" si="2"/>
        <v>71796.810282517792</v>
      </c>
      <c r="S11" s="9">
        <f t="shared" si="2"/>
        <v>73591.730539580734</v>
      </c>
      <c r="T11" s="9">
        <f t="shared" si="2"/>
        <v>75431.523803070246</v>
      </c>
      <c r="U11" s="9">
        <f t="shared" si="2"/>
        <v>77317.311898146989</v>
      </c>
      <c r="V11" s="9">
        <f t="shared" si="2"/>
        <v>79250.244695600661</v>
      </c>
      <c r="W11" s="9">
        <f t="shared" si="2"/>
        <v>81231.500812990664</v>
      </c>
      <c r="X11" s="9">
        <f t="shared" si="2"/>
        <v>83262.288333315417</v>
      </c>
      <c r="Y11" s="9">
        <f t="shared" si="2"/>
        <v>85343.84554164829</v>
      </c>
      <c r="Z11" s="9">
        <f t="shared" si="2"/>
        <v>87477.441680189484</v>
      </c>
      <c r="AA11" s="9">
        <f t="shared" si="2"/>
        <v>89664.377722194215</v>
      </c>
      <c r="AB11" s="9">
        <f t="shared" si="2"/>
        <v>91905.987165249069</v>
      </c>
      <c r="AC11" s="9"/>
    </row>
    <row r="12" spans="1:84" x14ac:dyDescent="0.2">
      <c r="A12" s="7"/>
      <c r="B12" s="5" t="s">
        <v>5</v>
      </c>
      <c r="C12" s="10"/>
      <c r="D12" s="10">
        <f>D11/C11-1</f>
        <v>-5.027932960893855E-2</v>
      </c>
      <c r="E12" s="11">
        <f>E11/D11-1</f>
        <v>1.9607843137254832E-2</v>
      </c>
      <c r="F12" s="11">
        <f>F11/E11-1</f>
        <v>-2.4538461538461509E-2</v>
      </c>
      <c r="G12" s="11">
        <f>G11/F11-1</f>
        <v>3.3908997713114175E-2</v>
      </c>
      <c r="H12" s="12">
        <v>5.5E-2</v>
      </c>
      <c r="I12" s="12">
        <v>2.9000000000000001E-2</v>
      </c>
      <c r="J12" s="12">
        <v>0.03</v>
      </c>
      <c r="K12" s="12">
        <v>0.03</v>
      </c>
      <c r="L12" s="12">
        <v>2.5000000000000001E-2</v>
      </c>
      <c r="M12" s="12">
        <f t="shared" ref="M12:AB13" si="3">L12</f>
        <v>2.5000000000000001E-2</v>
      </c>
      <c r="N12" s="12">
        <f t="shared" si="3"/>
        <v>2.5000000000000001E-2</v>
      </c>
      <c r="O12" s="12">
        <f t="shared" si="3"/>
        <v>2.5000000000000001E-2</v>
      </c>
      <c r="P12" s="12">
        <f t="shared" si="3"/>
        <v>2.5000000000000001E-2</v>
      </c>
      <c r="Q12" s="12">
        <f t="shared" si="3"/>
        <v>2.5000000000000001E-2</v>
      </c>
      <c r="R12" s="12">
        <f t="shared" si="3"/>
        <v>2.5000000000000001E-2</v>
      </c>
      <c r="S12" s="12">
        <v>2.5000000000000001E-2</v>
      </c>
      <c r="T12" s="12">
        <f>S12</f>
        <v>2.5000000000000001E-2</v>
      </c>
      <c r="U12" s="12">
        <f t="shared" ref="U12:AB12" si="4">T12</f>
        <v>2.5000000000000001E-2</v>
      </c>
      <c r="V12" s="12">
        <f t="shared" si="4"/>
        <v>2.5000000000000001E-2</v>
      </c>
      <c r="W12" s="12">
        <f t="shared" si="4"/>
        <v>2.5000000000000001E-2</v>
      </c>
      <c r="X12" s="12">
        <f t="shared" si="4"/>
        <v>2.5000000000000001E-2</v>
      </c>
      <c r="Y12" s="12">
        <f t="shared" si="4"/>
        <v>2.5000000000000001E-2</v>
      </c>
      <c r="Z12" s="12">
        <f t="shared" si="4"/>
        <v>2.5000000000000001E-2</v>
      </c>
      <c r="AA12" s="12">
        <f t="shared" si="4"/>
        <v>2.5000000000000001E-2</v>
      </c>
      <c r="AB12" s="12">
        <f t="shared" si="4"/>
        <v>2.5000000000000001E-2</v>
      </c>
      <c r="AC12" s="12">
        <v>0.02</v>
      </c>
    </row>
    <row r="13" spans="1:84" ht="16" customHeight="1" x14ac:dyDescent="0.2">
      <c r="A13" s="7"/>
      <c r="B13" s="5" t="s">
        <v>6</v>
      </c>
      <c r="C13" s="10">
        <f t="shared" ref="C13" si="5">C14/C11</f>
        <v>0.16679702048417133</v>
      </c>
      <c r="D13" s="10">
        <f>D14/D11</f>
        <v>0.24782352941176469</v>
      </c>
      <c r="E13" s="10">
        <f>E14/E11</f>
        <v>0.16746153846153847</v>
      </c>
      <c r="F13" s="10">
        <f>F14/F11</f>
        <v>0.16368977209999211</v>
      </c>
      <c r="G13" s="10">
        <f>G14/G11</f>
        <v>0.16592937228281596</v>
      </c>
      <c r="H13" s="12">
        <v>0.14799999999999999</v>
      </c>
      <c r="I13" s="12">
        <v>0.16500000000000001</v>
      </c>
      <c r="J13" s="12">
        <f>I13+0.0025</f>
        <v>0.16750000000000001</v>
      </c>
      <c r="K13" s="12">
        <f t="shared" ref="K13:O13" si="6">J13+0.0025</f>
        <v>0.17</v>
      </c>
      <c r="L13" s="12">
        <f t="shared" si="6"/>
        <v>0.17250000000000001</v>
      </c>
      <c r="M13" s="12">
        <f t="shared" si="6"/>
        <v>0.17500000000000002</v>
      </c>
      <c r="N13" s="12">
        <f t="shared" si="6"/>
        <v>0.17750000000000002</v>
      </c>
      <c r="O13" s="12">
        <f t="shared" si="6"/>
        <v>0.18000000000000002</v>
      </c>
      <c r="P13" s="12">
        <f>O13</f>
        <v>0.18000000000000002</v>
      </c>
      <c r="Q13" s="12">
        <f t="shared" si="3"/>
        <v>0.18000000000000002</v>
      </c>
      <c r="R13" s="12">
        <f t="shared" si="3"/>
        <v>0.18000000000000002</v>
      </c>
      <c r="S13" s="12">
        <f t="shared" si="3"/>
        <v>0.18000000000000002</v>
      </c>
      <c r="T13" s="12">
        <f t="shared" si="3"/>
        <v>0.18000000000000002</v>
      </c>
      <c r="U13" s="12">
        <f t="shared" si="3"/>
        <v>0.18000000000000002</v>
      </c>
      <c r="V13" s="12">
        <f t="shared" si="3"/>
        <v>0.18000000000000002</v>
      </c>
      <c r="W13" s="12">
        <f t="shared" si="3"/>
        <v>0.18000000000000002</v>
      </c>
      <c r="X13" s="12">
        <f t="shared" si="3"/>
        <v>0.18000000000000002</v>
      </c>
      <c r="Y13" s="12">
        <f t="shared" si="3"/>
        <v>0.18000000000000002</v>
      </c>
      <c r="Z13" s="12">
        <f t="shared" si="3"/>
        <v>0.18000000000000002</v>
      </c>
      <c r="AA13" s="12">
        <f t="shared" si="3"/>
        <v>0.18000000000000002</v>
      </c>
      <c r="AB13" s="12">
        <f t="shared" si="3"/>
        <v>0.18000000000000002</v>
      </c>
      <c r="AC13" s="12"/>
    </row>
    <row r="14" spans="1:84" ht="17" customHeight="1" x14ac:dyDescent="0.2">
      <c r="A14" s="7"/>
      <c r="B14" s="5" t="s">
        <v>7</v>
      </c>
      <c r="C14" s="8">
        <v>8957</v>
      </c>
      <c r="D14" s="8">
        <v>12639</v>
      </c>
      <c r="E14" s="8">
        <v>8708</v>
      </c>
      <c r="F14" s="8">
        <v>8303</v>
      </c>
      <c r="G14" s="8">
        <v>8702</v>
      </c>
      <c r="H14" s="9">
        <f t="shared" ref="H14:AB14" si="7">H11*H13</f>
        <v>8188.6061599999994</v>
      </c>
      <c r="I14" s="9">
        <f t="shared" si="7"/>
        <v>9393.9357896999991</v>
      </c>
      <c r="J14" s="9">
        <f t="shared" si="7"/>
        <v>9822.3561946544996</v>
      </c>
      <c r="K14" s="9">
        <f t="shared" si="7"/>
        <v>10268.02728169554</v>
      </c>
      <c r="L14" s="9">
        <f t="shared" si="7"/>
        <v>10679.503374969368</v>
      </c>
      <c r="M14" s="9">
        <f t="shared" si="7"/>
        <v>11105.135755855828</v>
      </c>
      <c r="N14" s="9">
        <f t="shared" si="7"/>
        <v>11545.375066177254</v>
      </c>
      <c r="O14" s="9">
        <f t="shared" si="7"/>
        <v>12000.685632167342</v>
      </c>
      <c r="P14" s="9">
        <f t="shared" si="7"/>
        <v>12300.702772971525</v>
      </c>
      <c r="Q14" s="9">
        <f t="shared" si="7"/>
        <v>12608.22034229581</v>
      </c>
      <c r="R14" s="9">
        <f t="shared" si="7"/>
        <v>12923.425850853204</v>
      </c>
      <c r="S14" s="9">
        <f t="shared" si="7"/>
        <v>13246.511497124533</v>
      </c>
      <c r="T14" s="9">
        <f t="shared" si="7"/>
        <v>13577.674284552646</v>
      </c>
      <c r="U14" s="9">
        <f t="shared" si="7"/>
        <v>13917.11614166646</v>
      </c>
      <c r="V14" s="9">
        <f t="shared" si="7"/>
        <v>14265.04404520812</v>
      </c>
      <c r="W14" s="9">
        <f t="shared" si="7"/>
        <v>14621.670146338322</v>
      </c>
      <c r="X14" s="9">
        <f t="shared" si="7"/>
        <v>14987.211899996777</v>
      </c>
      <c r="Y14" s="9">
        <f t="shared" si="7"/>
        <v>15361.892197496694</v>
      </c>
      <c r="Z14" s="9">
        <f t="shared" si="7"/>
        <v>15745.939502434108</v>
      </c>
      <c r="AA14" s="9">
        <f t="shared" si="7"/>
        <v>16139.587989994961</v>
      </c>
      <c r="AB14" s="9">
        <f t="shared" si="7"/>
        <v>16543.077689744834</v>
      </c>
      <c r="AC14" s="9"/>
    </row>
    <row r="15" spans="1:84" ht="17" hidden="1" customHeight="1" x14ac:dyDescent="0.2">
      <c r="A15" s="7"/>
      <c r="B15" s="5" t="s">
        <v>8</v>
      </c>
      <c r="C15" s="8"/>
      <c r="D15" s="8"/>
      <c r="E15" s="8"/>
      <c r="F15" s="8"/>
      <c r="G15" s="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9"/>
    </row>
    <row r="16" spans="1:84" ht="17" hidden="1" customHeight="1" x14ac:dyDescent="0.2">
      <c r="A16" s="12">
        <v>0</v>
      </c>
      <c r="B16" s="5" t="s">
        <v>9</v>
      </c>
      <c r="C16" s="8"/>
      <c r="D16" s="8"/>
      <c r="E16" s="8"/>
      <c r="F16" s="8"/>
      <c r="G16" s="8"/>
      <c r="H16" s="9">
        <f>-$A$16*H15</f>
        <v>0</v>
      </c>
      <c r="I16" s="9">
        <f t="shared" ref="I16:AB16" si="8">-$A$16*I15</f>
        <v>0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0</v>
      </c>
      <c r="N16" s="9">
        <f t="shared" si="8"/>
        <v>0</v>
      </c>
      <c r="O16" s="9">
        <f t="shared" si="8"/>
        <v>0</v>
      </c>
      <c r="P16" s="9">
        <f t="shared" si="8"/>
        <v>0</v>
      </c>
      <c r="Q16" s="9">
        <f t="shared" si="8"/>
        <v>0</v>
      </c>
      <c r="R16" s="9">
        <f t="shared" si="8"/>
        <v>0</v>
      </c>
      <c r="S16" s="9">
        <f t="shared" si="8"/>
        <v>0</v>
      </c>
      <c r="T16" s="9">
        <f t="shared" si="8"/>
        <v>0</v>
      </c>
      <c r="U16" s="9">
        <f t="shared" si="8"/>
        <v>0</v>
      </c>
      <c r="V16" s="9">
        <f t="shared" si="8"/>
        <v>0</v>
      </c>
      <c r="W16" s="9">
        <f t="shared" si="8"/>
        <v>0</v>
      </c>
      <c r="X16" s="9">
        <f t="shared" si="8"/>
        <v>0</v>
      </c>
      <c r="Y16" s="9">
        <f t="shared" si="8"/>
        <v>0</v>
      </c>
      <c r="Z16" s="9">
        <f t="shared" si="8"/>
        <v>0</v>
      </c>
      <c r="AA16" s="9">
        <f t="shared" si="8"/>
        <v>0</v>
      </c>
      <c r="AB16" s="9">
        <f t="shared" si="8"/>
        <v>0</v>
      </c>
      <c r="AC16" s="9"/>
    </row>
    <row r="17" spans="1:29" x14ac:dyDescent="0.2">
      <c r="A17" s="12">
        <v>0.19</v>
      </c>
      <c r="B17" s="5" t="s">
        <v>10</v>
      </c>
      <c r="C17" s="8">
        <v>6456</v>
      </c>
      <c r="D17" s="8">
        <v>9788</v>
      </c>
      <c r="E17" s="8">
        <v>6026</v>
      </c>
      <c r="F17" s="8">
        <v>6073</v>
      </c>
      <c r="G17" s="8">
        <v>6621</v>
      </c>
      <c r="H17" s="9">
        <f>(H14+H16)*(1-$A$17)</f>
        <v>6632.7709895999997</v>
      </c>
      <c r="I17" s="9">
        <f t="shared" ref="I17:AB17" si="9">(I14+I16)*(1-$A$17)</f>
        <v>7609.0879896569995</v>
      </c>
      <c r="J17" s="9">
        <f t="shared" si="9"/>
        <v>7956.1085176701454</v>
      </c>
      <c r="K17" s="9">
        <f t="shared" si="9"/>
        <v>8317.1020981733891</v>
      </c>
      <c r="L17" s="9">
        <f t="shared" si="9"/>
        <v>8650.397733725189</v>
      </c>
      <c r="M17" s="9">
        <f t="shared" si="9"/>
        <v>8995.1599622432223</v>
      </c>
      <c r="N17" s="9">
        <f t="shared" si="9"/>
        <v>9351.7538036035767</v>
      </c>
      <c r="O17" s="9">
        <f t="shared" si="9"/>
        <v>9720.5553620555474</v>
      </c>
      <c r="P17" s="9">
        <f t="shared" si="9"/>
        <v>9963.5692461069357</v>
      </c>
      <c r="Q17" s="9">
        <f t="shared" si="9"/>
        <v>10212.658477259607</v>
      </c>
      <c r="R17" s="9">
        <f>(R14+R16)*(1-$A$17)</f>
        <v>10467.974939191095</v>
      </c>
      <c r="S17" s="9">
        <f t="shared" si="9"/>
        <v>10729.674312670872</v>
      </c>
      <c r="T17" s="9">
        <f t="shared" si="9"/>
        <v>10997.916170487644</v>
      </c>
      <c r="U17" s="9">
        <f t="shared" si="9"/>
        <v>11272.864074749834</v>
      </c>
      <c r="V17" s="9">
        <f t="shared" si="9"/>
        <v>11554.685676618577</v>
      </c>
      <c r="W17" s="9">
        <f t="shared" si="9"/>
        <v>11843.552818534041</v>
      </c>
      <c r="X17" s="9">
        <f t="shared" si="9"/>
        <v>12139.641638997391</v>
      </c>
      <c r="Y17" s="9">
        <f t="shared" si="9"/>
        <v>12443.132679972323</v>
      </c>
      <c r="Z17" s="9">
        <f t="shared" si="9"/>
        <v>12754.210996971629</v>
      </c>
      <c r="AA17" s="9">
        <f t="shared" si="9"/>
        <v>13073.066271895919</v>
      </c>
      <c r="AB17" s="9">
        <f t="shared" si="9"/>
        <v>13399.892928693316</v>
      </c>
      <c r="AC17" s="8">
        <f>AB17*(1+AC12)/(C28-AC12)</f>
        <v>170848.63484083978</v>
      </c>
    </row>
    <row r="18" spans="1:29" x14ac:dyDescent="0.2">
      <c r="A18" s="14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5"/>
      <c r="AB18" s="15"/>
    </row>
    <row r="19" spans="1:29" x14ac:dyDescent="0.2">
      <c r="A19" s="14"/>
      <c r="H19" s="17"/>
      <c r="I19" s="16"/>
      <c r="J19" s="16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9" x14ac:dyDescent="0.2">
      <c r="A20" s="14"/>
      <c r="H20" s="18"/>
      <c r="I20" s="18"/>
      <c r="J20" s="18"/>
      <c r="K20" s="18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9" x14ac:dyDescent="0.2">
      <c r="A21" s="19"/>
      <c r="B21" s="1"/>
      <c r="C21" s="20">
        <v>44606</v>
      </c>
      <c r="D21" s="21" t="s">
        <v>11</v>
      </c>
      <c r="E21" s="22"/>
      <c r="F21" s="15"/>
      <c r="G21" s="23" t="s">
        <v>12</v>
      </c>
      <c r="H21" s="23"/>
      <c r="I21" s="23"/>
      <c r="J21" s="24"/>
      <c r="K21" s="24"/>
      <c r="L21" s="24"/>
      <c r="M21" s="15"/>
      <c r="N21" s="15"/>
      <c r="O21" s="15"/>
      <c r="P21" s="15"/>
      <c r="Q21" s="15"/>
      <c r="R21" s="15"/>
    </row>
    <row r="22" spans="1:29" ht="17" x14ac:dyDescent="0.2">
      <c r="A22" s="7" t="s">
        <v>13</v>
      </c>
      <c r="B22" s="5" t="s">
        <v>14</v>
      </c>
      <c r="C22" s="9">
        <f>C23*C24</f>
        <v>121607.36</v>
      </c>
      <c r="D22" s="9">
        <f>NPV($C$28,H17:AB17)+AC17/(1+C28)^(2040-2020)</f>
        <v>106382.14583779751</v>
      </c>
      <c r="E22" s="25" t="s">
        <v>15</v>
      </c>
      <c r="G22" s="26"/>
      <c r="H22" s="25" t="s">
        <v>16</v>
      </c>
      <c r="I22" s="25"/>
      <c r="J22" s="9">
        <f>R17</f>
        <v>10467.974939191095</v>
      </c>
      <c r="K22" s="25" t="s">
        <v>15</v>
      </c>
      <c r="L22" s="25"/>
    </row>
    <row r="23" spans="1:29" x14ac:dyDescent="0.2">
      <c r="A23" s="7"/>
      <c r="B23" s="5" t="s">
        <v>17</v>
      </c>
      <c r="C23" s="13">
        <v>2609.6</v>
      </c>
      <c r="D23" s="9">
        <f>C23*(1)</f>
        <v>2609.6</v>
      </c>
      <c r="E23" s="5"/>
      <c r="G23" s="25"/>
      <c r="H23" s="25" t="s">
        <v>18</v>
      </c>
      <c r="I23" s="25"/>
      <c r="J23" s="13">
        <v>18</v>
      </c>
      <c r="K23" s="25"/>
      <c r="L23" s="25"/>
    </row>
    <row r="24" spans="1:29" x14ac:dyDescent="0.2">
      <c r="A24" s="7"/>
      <c r="B24" s="5" t="s">
        <v>19</v>
      </c>
      <c r="C24" s="27">
        <v>46.6</v>
      </c>
      <c r="D24" s="28">
        <f>D22/(D23)</f>
        <v>40.765690465127804</v>
      </c>
      <c r="E24" s="25" t="s">
        <v>15</v>
      </c>
      <c r="G24" s="25"/>
      <c r="H24" s="25" t="s">
        <v>20</v>
      </c>
      <c r="I24" s="25"/>
      <c r="J24" s="29">
        <v>0.7</v>
      </c>
      <c r="K24" s="5"/>
      <c r="L24" s="25"/>
      <c r="S24" s="30"/>
    </row>
    <row r="25" spans="1:29" x14ac:dyDescent="0.2">
      <c r="A25" s="7"/>
      <c r="B25" s="5" t="s">
        <v>21</v>
      </c>
      <c r="C25" s="5"/>
      <c r="D25" s="31">
        <f>D24/C24-1</f>
        <v>-0.12519977542644201</v>
      </c>
      <c r="E25" s="5"/>
      <c r="F25" s="32"/>
      <c r="G25" s="25"/>
      <c r="H25" s="25" t="s">
        <v>22</v>
      </c>
      <c r="I25" s="25"/>
      <c r="J25" s="8">
        <f>C22</f>
        <v>121607.36</v>
      </c>
      <c r="K25" s="25" t="s">
        <v>15</v>
      </c>
      <c r="L25" s="25"/>
      <c r="R25" s="33"/>
    </row>
    <row r="26" spans="1:29" x14ac:dyDescent="0.2">
      <c r="A26" s="7"/>
      <c r="B26" s="5"/>
      <c r="C26" s="5"/>
      <c r="D26" s="6"/>
      <c r="E26" s="5"/>
      <c r="F26" s="32"/>
      <c r="G26" s="25"/>
      <c r="H26" s="25" t="s">
        <v>23</v>
      </c>
      <c r="I26" s="25"/>
      <c r="J26" s="34">
        <f>SUM(H17:R17)*J24</f>
        <v>68513.997383499998</v>
      </c>
      <c r="K26" s="25" t="s">
        <v>15</v>
      </c>
      <c r="L26" s="25"/>
      <c r="R26" s="33"/>
    </row>
    <row r="27" spans="1:29" x14ac:dyDescent="0.2">
      <c r="A27" s="5"/>
      <c r="B27" s="5"/>
      <c r="C27" s="5"/>
      <c r="D27" s="6"/>
      <c r="E27" s="6"/>
      <c r="G27" s="25"/>
      <c r="H27" s="25" t="s">
        <v>24</v>
      </c>
      <c r="I27" s="25"/>
      <c r="J27" s="9">
        <f>J23*J22</f>
        <v>188423.54890543973</v>
      </c>
      <c r="K27" s="25" t="s">
        <v>15</v>
      </c>
      <c r="L27" s="25"/>
      <c r="M27" s="35"/>
      <c r="N27" s="35"/>
      <c r="O27" s="35"/>
      <c r="P27" s="35"/>
      <c r="Q27" s="35"/>
      <c r="R27" s="35"/>
      <c r="S27" s="35"/>
      <c r="T27" s="35"/>
      <c r="U27" s="35"/>
    </row>
    <row r="28" spans="1:29" x14ac:dyDescent="0.2">
      <c r="A28" s="5"/>
      <c r="B28" s="6" t="s">
        <v>25</v>
      </c>
      <c r="C28" s="12">
        <v>0.1</v>
      </c>
      <c r="D28" s="36"/>
      <c r="E28" s="5"/>
      <c r="G28" s="25"/>
      <c r="H28" s="25" t="s">
        <v>26</v>
      </c>
      <c r="I28" s="25"/>
      <c r="J28" s="34">
        <f>J27+J26</f>
        <v>256937.54628893972</v>
      </c>
      <c r="K28" s="25" t="s">
        <v>15</v>
      </c>
      <c r="L28" s="25"/>
    </row>
    <row r="29" spans="1:29" x14ac:dyDescent="0.2">
      <c r="A29" s="5"/>
      <c r="B29" s="5"/>
      <c r="C29" s="10"/>
      <c r="D29" s="5"/>
      <c r="E29" s="5"/>
      <c r="G29" s="25"/>
      <c r="H29" s="25" t="s">
        <v>27</v>
      </c>
      <c r="I29" s="25"/>
      <c r="J29" s="31">
        <f>(J28/J25)^0.1-1</f>
        <v>7.7672426815396767E-2</v>
      </c>
      <c r="K29" s="25"/>
      <c r="L29" s="25"/>
    </row>
    <row r="30" spans="1:29" x14ac:dyDescent="0.2">
      <c r="G30" s="5"/>
      <c r="H30" s="5"/>
      <c r="I30" s="5"/>
      <c r="J30" s="5"/>
      <c r="K30" s="5"/>
      <c r="L30" s="5"/>
    </row>
    <row r="31" spans="1:29" x14ac:dyDescent="0.2">
      <c r="A31" s="1"/>
      <c r="B31" s="37" t="s">
        <v>28</v>
      </c>
      <c r="C31" s="37"/>
      <c r="D31" s="38" t="s">
        <v>21</v>
      </c>
      <c r="E31" s="1"/>
      <c r="V31" s="30"/>
    </row>
    <row r="32" spans="1:29" x14ac:dyDescent="0.2">
      <c r="A32" s="6" t="s">
        <v>29</v>
      </c>
      <c r="B32" s="5"/>
      <c r="C32" s="10">
        <v>0.04</v>
      </c>
      <c r="D32" s="31">
        <f t="shared" ref="D32:D40" si="10">((NPV(C32,$H$17:$AB$17)+($AB$17*(1+$AC$12)/(C32-$AC$12))/(1+C32)^(2040-2020))/$D$23)/$C$24-1</f>
        <v>2.7123233304400443</v>
      </c>
      <c r="E32" s="10"/>
    </row>
    <row r="33" spans="1:5" x14ac:dyDescent="0.2">
      <c r="A33" s="5"/>
      <c r="B33" s="10"/>
      <c r="C33" s="10">
        <v>0.06</v>
      </c>
      <c r="D33" s="31">
        <f t="shared" si="10"/>
        <v>0.81845373319228543</v>
      </c>
      <c r="E33" s="5"/>
    </row>
    <row r="34" spans="1:5" x14ac:dyDescent="0.2">
      <c r="A34" s="5"/>
      <c r="B34" s="10"/>
      <c r="C34" s="10">
        <v>0.08</v>
      </c>
      <c r="D34" s="31">
        <f t="shared" si="10"/>
        <v>0.18821338498355988</v>
      </c>
      <c r="E34" s="5"/>
    </row>
    <row r="35" spans="1:5" x14ac:dyDescent="0.2">
      <c r="A35" s="5"/>
      <c r="B35" s="10"/>
      <c r="C35" s="10">
        <v>0.1</v>
      </c>
      <c r="D35" s="31">
        <f t="shared" si="10"/>
        <v>-0.12519977542644201</v>
      </c>
      <c r="E35" s="5"/>
    </row>
    <row r="36" spans="1:5" x14ac:dyDescent="0.2">
      <c r="A36" s="5"/>
      <c r="B36" s="10"/>
      <c r="C36" s="10">
        <v>0.12</v>
      </c>
      <c r="D36" s="31">
        <f t="shared" si="10"/>
        <v>-0.31168009217124948</v>
      </c>
      <c r="E36" s="5"/>
    </row>
    <row r="37" spans="1:5" x14ac:dyDescent="0.2">
      <c r="A37" s="5"/>
      <c r="B37" s="10"/>
      <c r="C37" s="10">
        <v>0.14000000000000001</v>
      </c>
      <c r="D37" s="31">
        <f t="shared" si="10"/>
        <v>-0.43473563150202876</v>
      </c>
      <c r="E37" s="5"/>
    </row>
    <row r="38" spans="1:5" x14ac:dyDescent="0.2">
      <c r="A38" s="5"/>
      <c r="B38" s="10"/>
      <c r="C38" s="10">
        <v>0.16</v>
      </c>
      <c r="D38" s="31">
        <f t="shared" si="10"/>
        <v>-0.52165918800366029</v>
      </c>
      <c r="E38" s="5"/>
    </row>
    <row r="39" spans="1:5" x14ac:dyDescent="0.2">
      <c r="A39" s="5"/>
      <c r="B39" s="10"/>
      <c r="C39" s="10">
        <v>0.18</v>
      </c>
      <c r="D39" s="31">
        <f t="shared" si="10"/>
        <v>-0.58611658299394143</v>
      </c>
      <c r="E39" s="5"/>
    </row>
    <row r="40" spans="1:5" x14ac:dyDescent="0.2">
      <c r="A40" s="5"/>
      <c r="B40" s="10"/>
      <c r="C40" s="10">
        <v>0.2</v>
      </c>
      <c r="D40" s="31">
        <f t="shared" si="10"/>
        <v>-0.63569767832519575</v>
      </c>
      <c r="E40" s="5"/>
    </row>
    <row r="41" spans="1:5" x14ac:dyDescent="0.2">
      <c r="A41" s="5"/>
      <c r="B41" s="10"/>
      <c r="C41" s="5"/>
      <c r="D41" s="5"/>
      <c r="E41" s="5"/>
    </row>
  </sheetData>
  <mergeCells count="1">
    <mergeCell ref="B31:C31"/>
  </mergeCells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D25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7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2022-02-15T10:57:34Z</dcterms:created>
  <dcterms:modified xsi:type="dcterms:W3CDTF">2022-02-15T10:58:20Z</dcterms:modified>
</cp:coreProperties>
</file>