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tberloge/Desktop/AlleAktien/01_Aktienanalysen/Varta AG Update/"/>
    </mc:Choice>
  </mc:AlternateContent>
  <xr:revisionPtr revIDLastSave="0" documentId="13_ncr:1_{00F98A8C-1969-ED42-8CEF-5309708EA82B}" xr6:coauthVersionLast="47" xr6:coauthVersionMax="47" xr10:uidLastSave="{00000000-0000-0000-0000-000000000000}"/>
  <bookViews>
    <workbookView xWindow="-180" yWindow="760" windowWidth="33600" windowHeight="19300" xr2:uid="{00000000-000D-0000-FFFF-FFFF00000000}"/>
  </bookViews>
  <sheets>
    <sheet name="D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1" l="1"/>
  <c r="M11" i="1" l="1"/>
  <c r="N7" i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M8" i="1"/>
  <c r="N8" i="1" s="1"/>
  <c r="O8" i="1" s="1"/>
  <c r="T13" i="1"/>
  <c r="U13" i="1"/>
  <c r="V13" i="1"/>
  <c r="W13" i="1"/>
  <c r="N13" i="1" l="1"/>
  <c r="O13" i="1"/>
  <c r="P13" i="1"/>
  <c r="Q13" i="1"/>
  <c r="R13" i="1"/>
  <c r="S13" i="1"/>
  <c r="X13" i="1"/>
  <c r="Y13" i="1"/>
  <c r="Z13" i="1"/>
  <c r="AA13" i="1"/>
  <c r="AB13" i="1"/>
  <c r="AC13" i="1"/>
  <c r="AD13" i="1"/>
  <c r="AE13" i="1"/>
  <c r="AF13" i="1"/>
  <c r="AG13" i="1"/>
  <c r="M13" i="1"/>
  <c r="H9" i="1"/>
  <c r="I9" i="1"/>
  <c r="J9" i="1"/>
  <c r="K9" i="1"/>
  <c r="G10" i="1"/>
  <c r="H10" i="1"/>
  <c r="I10" i="1"/>
  <c r="J10" i="1"/>
  <c r="K10" i="1"/>
  <c r="G18" i="1"/>
  <c r="H19" i="1"/>
  <c r="N21" i="1" l="1"/>
  <c r="M14" i="1" l="1"/>
  <c r="N11" i="1" l="1"/>
  <c r="N14" i="1" s="1"/>
  <c r="P8" i="1" l="1"/>
  <c r="O11" i="1"/>
  <c r="O14" i="1" s="1"/>
  <c r="P11" i="1" l="1"/>
  <c r="P14" i="1" s="1"/>
  <c r="Q8" i="1"/>
  <c r="R8" i="1" l="1"/>
  <c r="Q11" i="1"/>
  <c r="Q14" i="1" s="1"/>
  <c r="S8" i="1" l="1"/>
  <c r="T8" i="1" s="1"/>
  <c r="R11" i="1"/>
  <c r="R14" i="1" s="1"/>
  <c r="U8" i="1" l="1"/>
  <c r="T11" i="1"/>
  <c r="T14" i="1" s="1"/>
  <c r="S11" i="1"/>
  <c r="S14" i="1" s="1"/>
  <c r="V8" i="1" l="1"/>
  <c r="U11" i="1"/>
  <c r="U14" i="1" s="1"/>
  <c r="W8" i="1" l="1"/>
  <c r="V11" i="1"/>
  <c r="V14" i="1" s="1"/>
  <c r="W11" i="1" l="1"/>
  <c r="W14" i="1" s="1"/>
  <c r="X8" i="1"/>
  <c r="Y8" i="1" l="1"/>
  <c r="X11" i="1"/>
  <c r="X14" i="1" s="1"/>
  <c r="N23" i="1"/>
  <c r="N22" i="1"/>
  <c r="N24" i="1" l="1"/>
  <c r="N25" i="1" s="1"/>
  <c r="Y11" i="1"/>
  <c r="Y14" i="1" s="1"/>
  <c r="Z8" i="1"/>
  <c r="Z11" i="1" l="1"/>
  <c r="Z14" i="1" s="1"/>
  <c r="AA8" i="1"/>
  <c r="AB8" i="1" l="1"/>
  <c r="AA11" i="1"/>
  <c r="AA14" i="1" s="1"/>
  <c r="AC8" i="1" l="1"/>
  <c r="AB11" i="1"/>
  <c r="AB14" i="1" s="1"/>
  <c r="AD8" i="1" l="1"/>
  <c r="AC11" i="1"/>
  <c r="AC14" i="1" s="1"/>
  <c r="AE8" i="1" l="1"/>
  <c r="AD11" i="1"/>
  <c r="AD14" i="1" s="1"/>
  <c r="AF8" i="1" l="1"/>
  <c r="AE11" i="1"/>
  <c r="AE14" i="1" s="1"/>
  <c r="AG8" i="1" l="1"/>
  <c r="AG11" i="1" s="1"/>
  <c r="AG14" i="1" s="1"/>
  <c r="AF11" i="1"/>
  <c r="AF14" i="1" s="1"/>
  <c r="R20" i="1" l="1"/>
  <c r="R19" i="1"/>
  <c r="R18" i="1"/>
  <c r="AH14" i="1"/>
  <c r="H18" i="1" s="1"/>
  <c r="H20" i="1" s="1"/>
  <c r="H21" i="1" s="1"/>
  <c r="R22" i="1"/>
  <c r="R25" i="1"/>
  <c r="R21" i="1"/>
  <c r="R26" i="1"/>
  <c r="R23" i="1"/>
  <c r="R24" i="1"/>
</calcChain>
</file>

<file path=xl/sharedStrings.xml><?xml version="1.0" encoding="utf-8"?>
<sst xmlns="http://schemas.openxmlformats.org/spreadsheetml/2006/main" count="26" uniqueCount="25">
  <si>
    <t>Umsatz</t>
  </si>
  <si>
    <t>Umsatz-Wachstum, %</t>
  </si>
  <si>
    <t>EBIT-Marge, %</t>
  </si>
  <si>
    <t>EBIT</t>
  </si>
  <si>
    <t>Fairer Wert</t>
  </si>
  <si>
    <t>Anzahl Aktien (diluted), Mio.</t>
  </si>
  <si>
    <t>Marktkapitalisierung, Mio.</t>
  </si>
  <si>
    <t>Kurs pro Aktie</t>
  </si>
  <si>
    <t>Unterbewertung</t>
  </si>
  <si>
    <t>Diskontierungsfaktor (WACC)</t>
  </si>
  <si>
    <t>Renditeerwartung</t>
  </si>
  <si>
    <t>Gewinn 2032, Mio.</t>
  </si>
  <si>
    <t>KGV 2032</t>
  </si>
  <si>
    <t>Ausschüttungsquote</t>
  </si>
  <si>
    <t>Marktkap. heute Mio.</t>
  </si>
  <si>
    <t>Gesamtrendite</t>
  </si>
  <si>
    <t>Terminal Value</t>
  </si>
  <si>
    <t>Verschuldung</t>
  </si>
  <si>
    <t xml:space="preserve">Zinszahlungen bei </t>
  </si>
  <si>
    <t>Zinsen</t>
  </si>
  <si>
    <t>Nettogewinn bei</t>
  </si>
  <si>
    <t>Steuern</t>
  </si>
  <si>
    <t>Dividenden bis 2033, Mio.</t>
  </si>
  <si>
    <t>Marktkap. 2033, Mio.</t>
  </si>
  <si>
    <t>Marktap. + Div. 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</si>
</sst>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8">
    <font>
      <sz val="12"/>
      <color theme="1"/>
      <name val="Calibri"/>
      <family val="2"/>
      <scheme val="minor"/>
    </font>
    <font>
      <sz val="14"/>
      <color theme="1"/>
      <name val="Söhne Extraleicht"/>
    </font>
    <font>
      <sz val="12"/>
      <color theme="1"/>
      <name val="Söhne Extraleicht"/>
    </font>
    <font>
      <b/>
      <sz val="33"/>
      <color theme="1"/>
      <name val="Söhne Extraleicht"/>
    </font>
    <font>
      <b/>
      <sz val="14"/>
      <color theme="1"/>
      <name val="Söhne Extraleicht"/>
    </font>
    <font>
      <sz val="24"/>
      <color theme="1"/>
      <name val="Söhne Extraleicht"/>
    </font>
    <font>
      <sz val="16"/>
      <color theme="0"/>
      <name val="Söhne Extraleicht"/>
    </font>
    <font>
      <sz val="14"/>
      <color theme="1"/>
      <name val="Söhne"/>
    </font>
  </fonts>
  <fills count="5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45F19C"/>
        <bgColor indexed="64"/>
      </patternFill>
    </fill>
    <fill>
      <patternFill patternType="solid">
        <fgColor rgb="FFFFE78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 vertical="center" indent="2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indent="3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14" fontId="4" fillId="2" borderId="0" xfId="0" applyNumberFormat="1" applyFont="1" applyFill="1" applyAlignment="1">
      <alignment horizontal="left" vertical="center" indent="2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left" vertical="center" indent="2"/>
    </xf>
    <xf numFmtId="0" fontId="7" fillId="2" borderId="0" xfId="0" applyFont="1" applyFill="1"/>
    <xf numFmtId="9" fontId="7" fillId="2" borderId="1" xfId="0" applyNumberFormat="1" applyFont="1" applyFill="1" applyBorder="1" applyAlignment="1">
      <alignment horizontal="left" vertical="center" indent="2"/>
    </xf>
    <xf numFmtId="164" fontId="7" fillId="2" borderId="1" xfId="0" applyNumberFormat="1" applyFont="1" applyFill="1" applyBorder="1" applyAlignment="1">
      <alignment horizontal="left" vertical="center" indent="2"/>
    </xf>
    <xf numFmtId="164" fontId="7" fillId="4" borderId="1" xfId="0" applyNumberFormat="1" applyFont="1" applyFill="1" applyBorder="1" applyAlignment="1">
      <alignment horizontal="left" vertical="center" indent="2"/>
    </xf>
    <xf numFmtId="3" fontId="7" fillId="4" borderId="1" xfId="0" applyNumberFormat="1" applyFont="1" applyFill="1" applyBorder="1" applyAlignment="1">
      <alignment horizontal="left" vertical="center" indent="2"/>
    </xf>
    <xf numFmtId="3" fontId="7" fillId="3" borderId="1" xfId="0" applyNumberFormat="1" applyFont="1" applyFill="1" applyBorder="1" applyAlignment="1">
      <alignment horizontal="left" vertical="center" indent="2"/>
    </xf>
    <xf numFmtId="1" fontId="7" fillId="4" borderId="1" xfId="0" applyNumberFormat="1" applyFont="1" applyFill="1" applyBorder="1" applyAlignment="1">
      <alignment horizontal="left" vertical="center" indent="2"/>
    </xf>
    <xf numFmtId="0" fontId="7" fillId="4" borderId="1" xfId="0" applyFont="1" applyFill="1" applyBorder="1" applyAlignment="1">
      <alignment horizontal="left" vertical="center" indent="2"/>
    </xf>
    <xf numFmtId="0" fontId="7" fillId="2" borderId="1" xfId="0" applyFont="1" applyFill="1" applyBorder="1" applyAlignment="1">
      <alignment horizontal="left" vertical="center" indent="2"/>
    </xf>
  </cellXfs>
  <cellStyles count="1">
    <cellStyle name="Standard" xfId="0" builtinId="0"/>
  </cellStyles>
  <dxfs count="6">
    <dxf>
      <fill>
        <patternFill>
          <bgColor rgb="FFFF5858"/>
        </patternFill>
      </fill>
    </dxf>
    <dxf>
      <fill>
        <patternFill>
          <bgColor rgb="FF7DECA3"/>
        </patternFill>
      </fill>
    </dxf>
    <dxf>
      <fill>
        <patternFill>
          <bgColor rgb="FFFF5858"/>
        </patternFill>
      </fill>
    </dxf>
    <dxf>
      <fill>
        <patternFill>
          <bgColor rgb="FF7DECA3"/>
        </patternFill>
      </fill>
    </dxf>
    <dxf>
      <fill>
        <patternFill>
          <bgColor rgb="FFFF5858"/>
        </patternFill>
      </fill>
    </dxf>
    <dxf>
      <fill>
        <patternFill>
          <bgColor rgb="FF7DECA3"/>
        </patternFill>
      </fill>
    </dxf>
  </dxfs>
  <tableStyles count="0" defaultTableStyle="TableStyleMedium2" defaultPivotStyle="PivotStyleLight16"/>
  <colors>
    <mruColors>
      <color rgb="FF9CF6DC"/>
      <color rgb="FF45F19C"/>
      <color rgb="FFFFFAE0"/>
      <color rgb="FFFFF281"/>
      <color rgb="FFF6F6F6"/>
      <color rgb="FFFF5858"/>
      <color rgb="FF7DECA3"/>
      <color rgb="FFFF433D"/>
      <color rgb="FFFFE782"/>
      <color rgb="FF9C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624590</xdr:colOff>
      <xdr:row>39</xdr:row>
      <xdr:rowOff>205358</xdr:rowOff>
    </xdr:from>
    <xdr:to>
      <xdr:col>37</xdr:col>
      <xdr:colOff>50683</xdr:colOff>
      <xdr:row>112</xdr:row>
      <xdr:rowOff>17020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25000"/>
        </a:blip>
        <a:srcRect l="4583" t="4787" r="5581"/>
        <a:stretch/>
      </xdr:blipFill>
      <xdr:spPr>
        <a:xfrm>
          <a:off x="23109836" y="16194866"/>
          <a:ext cx="18723365" cy="1501002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29</xdr:row>
      <xdr:rowOff>50800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927600" y="120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</xdr:row>
      <xdr:rowOff>0</xdr:rowOff>
    </xdr:from>
    <xdr:to>
      <xdr:col>23</xdr:col>
      <xdr:colOff>304800</xdr:colOff>
      <xdr:row>17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2847300" y="69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304800</xdr:colOff>
      <xdr:row>20</xdr:row>
      <xdr:rowOff>304800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22847300" y="84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50800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25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879986</xdr:colOff>
      <xdr:row>2</xdr:row>
      <xdr:rowOff>202253</xdr:rowOff>
    </xdr:from>
    <xdr:to>
      <xdr:col>18</xdr:col>
      <xdr:colOff>937</xdr:colOff>
      <xdr:row>4</xdr:row>
      <xdr:rowOff>3101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7072486" y="710253"/>
          <a:ext cx="1711751" cy="308848"/>
        </a:xfrm>
        <a:prstGeom prst="rect">
          <a:avLst/>
        </a:prstGeom>
      </xdr:spPr>
    </xdr:pic>
    <xdr:clientData/>
  </xdr:twoCellAnchor>
  <xdr:twoCellAnchor>
    <xdr:from>
      <xdr:col>1</xdr:col>
      <xdr:colOff>2130</xdr:colOff>
      <xdr:row>5</xdr:row>
      <xdr:rowOff>257858</xdr:rowOff>
    </xdr:from>
    <xdr:to>
      <xdr:col>2</xdr:col>
      <xdr:colOff>380898</xdr:colOff>
      <xdr:row>6</xdr:row>
      <xdr:rowOff>3896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7930" y="1781858"/>
          <a:ext cx="1394768" cy="342938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Fundamental</a:t>
          </a:r>
        </a:p>
      </xdr:txBody>
    </xdr:sp>
    <xdr:clientData/>
  </xdr:twoCellAnchor>
  <xdr:twoCellAnchor>
    <xdr:from>
      <xdr:col>1</xdr:col>
      <xdr:colOff>1457</xdr:colOff>
      <xdr:row>15</xdr:row>
      <xdr:rowOff>153911</xdr:rowOff>
    </xdr:from>
    <xdr:to>
      <xdr:col>2</xdr:col>
      <xdr:colOff>184683</xdr:colOff>
      <xdr:row>15</xdr:row>
      <xdr:rowOff>517505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87101" y="7649248"/>
          <a:ext cx="1200005" cy="36359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Bewertung</a:t>
          </a:r>
        </a:p>
      </xdr:txBody>
    </xdr:sp>
    <xdr:clientData/>
  </xdr:twoCellAnchor>
  <xdr:twoCellAnchor>
    <xdr:from>
      <xdr:col>9</xdr:col>
      <xdr:colOff>1466</xdr:colOff>
      <xdr:row>15</xdr:row>
      <xdr:rowOff>152516</xdr:rowOff>
    </xdr:from>
    <xdr:to>
      <xdr:col>12</xdr:col>
      <xdr:colOff>1017465</xdr:colOff>
      <xdr:row>15</xdr:row>
      <xdr:rowOff>518901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205822" y="7647853"/>
          <a:ext cx="3735201" cy="36638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AlleAktien Future Multiple Valuation FMV  </a:t>
          </a:r>
        </a:p>
      </xdr:txBody>
    </xdr:sp>
    <xdr:clientData/>
  </xdr:twoCellAnchor>
  <xdr:twoCellAnchor>
    <xdr:from>
      <xdr:col>12</xdr:col>
      <xdr:colOff>4665</xdr:colOff>
      <xdr:row>5</xdr:row>
      <xdr:rowOff>237555</xdr:rowOff>
    </xdr:from>
    <xdr:to>
      <xdr:col>12</xdr:col>
      <xdr:colOff>1182662</xdr:colOff>
      <xdr:row>6</xdr:row>
      <xdr:rowOff>0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019029" y="1761555"/>
          <a:ext cx="1177997" cy="35951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Prognose</a:t>
          </a:r>
        </a:p>
      </xdr:txBody>
    </xdr:sp>
    <xdr:clientData/>
  </xdr:twoCellAnchor>
  <xdr:twoCellAnchor>
    <xdr:from>
      <xdr:col>15</xdr:col>
      <xdr:colOff>13282</xdr:colOff>
      <xdr:row>15</xdr:row>
      <xdr:rowOff>153911</xdr:rowOff>
    </xdr:from>
    <xdr:to>
      <xdr:col>16</xdr:col>
      <xdr:colOff>291777</xdr:colOff>
      <xdr:row>15</xdr:row>
      <xdr:rowOff>517505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4887350" y="7633996"/>
          <a:ext cx="1570020" cy="36359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Renditetabelle</a:t>
          </a:r>
        </a:p>
      </xdr:txBody>
    </xdr:sp>
    <xdr:clientData/>
  </xdr:twoCellAnchor>
  <xdr:twoCellAnchor>
    <xdr:from>
      <xdr:col>2</xdr:col>
      <xdr:colOff>362048</xdr:colOff>
      <xdr:row>5</xdr:row>
      <xdr:rowOff>259743</xdr:rowOff>
    </xdr:from>
    <xdr:to>
      <xdr:col>6</xdr:col>
      <xdr:colOff>13092</xdr:colOff>
      <xdr:row>5</xdr:row>
      <xdr:rowOff>595721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064110" y="1791599"/>
          <a:ext cx="2308879" cy="335978"/>
        </a:xfrm>
        <a:prstGeom prst="rect">
          <a:avLst/>
        </a:prstGeom>
        <a:solidFill>
          <a:srgbClr val="F6F6F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l"/>
          <a:r>
            <a:rPr lang="de-DE" sz="1400" b="0">
              <a:solidFill>
                <a:schemeClr val="tx1"/>
              </a:solidFill>
              <a:latin typeface="SÖHNE" panose="020B0503030202060203" pitchFamily="34" charset="77"/>
            </a:rPr>
            <a:t>   Alle Angaben in Mio. USD</a:t>
          </a:r>
        </a:p>
      </xdr:txBody>
    </xdr:sp>
    <xdr:clientData/>
  </xdr:twoCellAnchor>
  <xdr:twoCellAnchor>
    <xdr:from>
      <xdr:col>0</xdr:col>
      <xdr:colOff>570387</xdr:colOff>
      <xdr:row>2</xdr:row>
      <xdr:rowOff>58918</xdr:rowOff>
    </xdr:from>
    <xdr:to>
      <xdr:col>4</xdr:col>
      <xdr:colOff>284016</xdr:colOff>
      <xdr:row>4</xdr:row>
      <xdr:rowOff>97692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70387" y="566918"/>
          <a:ext cx="2562058" cy="5467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l"/>
          <a:r>
            <a:rPr lang="de-DE" sz="3400" b="1" i="0">
              <a:solidFill>
                <a:schemeClr val="tx1"/>
              </a:solidFill>
              <a:latin typeface="Söhne Halbfett" panose="020B0403030202060203" pitchFamily="34" charset="77"/>
            </a:rPr>
            <a:t>DCF-Modell</a:t>
          </a:r>
        </a:p>
      </xdr:txBody>
    </xdr:sp>
    <xdr:clientData/>
  </xdr:twoCellAnchor>
  <xdr:twoCellAnchor editAs="oneCell">
    <xdr:from>
      <xdr:col>14</xdr:col>
      <xdr:colOff>785807</xdr:colOff>
      <xdr:row>2</xdr:row>
      <xdr:rowOff>126999</xdr:rowOff>
    </xdr:from>
    <xdr:to>
      <xdr:col>16</xdr:col>
      <xdr:colOff>491901</xdr:colOff>
      <xdr:row>4</xdr:row>
      <xdr:rowOff>122052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CEB5894-BF7B-C15A-001D-8A7A8108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716" y="634999"/>
          <a:ext cx="2292276" cy="50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"/>
  <sheetViews>
    <sheetView showGridLines="0" tabSelected="1" zoomScale="70" zoomScaleNormal="70" workbookViewId="0">
      <selection activeCell="G23" sqref="G23"/>
    </sheetView>
  </sheetViews>
  <sheetFormatPr baseColWidth="10" defaultColWidth="10.83203125" defaultRowHeight="16"/>
  <cols>
    <col min="1" max="1" width="9" style="2" customWidth="1"/>
    <col min="2" max="2" width="13.33203125" style="2" customWidth="1"/>
    <col min="3" max="3" width="8" style="2" customWidth="1"/>
    <col min="4" max="4" width="6.83203125" style="2" customWidth="1"/>
    <col min="5" max="5" width="10" style="2" customWidth="1"/>
    <col min="6" max="6" width="11.5" style="2" customWidth="1"/>
    <col min="7" max="7" width="17.83203125" style="2" customWidth="1"/>
    <col min="8" max="10" width="16.83203125" style="2" customWidth="1"/>
    <col min="11" max="11" width="13.1640625" style="2" customWidth="1"/>
    <col min="12" max="12" width="5.6640625" style="2" customWidth="1"/>
    <col min="13" max="34" width="17" style="2" customWidth="1"/>
    <col min="35" max="46" width="10.83203125" style="2" customWidth="1"/>
    <col min="47" max="16384" width="10.83203125" style="2"/>
  </cols>
  <sheetData>
    <row r="1" spans="1:48" ht="20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40" customHeight="1">
      <c r="A5" s="1"/>
      <c r="B5" s="3"/>
      <c r="C5" s="4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47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45" customHeight="1">
      <c r="A7" s="1"/>
      <c r="B7" s="1"/>
      <c r="C7" s="1"/>
      <c r="D7" s="1"/>
      <c r="E7" s="1"/>
      <c r="F7" s="1"/>
      <c r="G7" s="6">
        <v>2017</v>
      </c>
      <c r="H7" s="6">
        <v>2018</v>
      </c>
      <c r="I7" s="6">
        <v>2019</v>
      </c>
      <c r="J7" s="6">
        <v>2020</v>
      </c>
      <c r="K7" s="6">
        <v>2021</v>
      </c>
      <c r="L7" s="4"/>
      <c r="M7" s="6">
        <v>2022</v>
      </c>
      <c r="N7" s="6">
        <f>M7+1</f>
        <v>2023</v>
      </c>
      <c r="O7" s="6">
        <f t="shared" ref="O7:AG7" si="0">N7+1</f>
        <v>2024</v>
      </c>
      <c r="P7" s="6">
        <f t="shared" si="0"/>
        <v>2025</v>
      </c>
      <c r="Q7" s="6">
        <f t="shared" si="0"/>
        <v>2026</v>
      </c>
      <c r="R7" s="6">
        <f t="shared" si="0"/>
        <v>2027</v>
      </c>
      <c r="S7" s="6">
        <f t="shared" si="0"/>
        <v>2028</v>
      </c>
      <c r="T7" s="6">
        <f t="shared" si="0"/>
        <v>2029</v>
      </c>
      <c r="U7" s="6">
        <f t="shared" si="0"/>
        <v>2030</v>
      </c>
      <c r="V7" s="6">
        <f t="shared" si="0"/>
        <v>2031</v>
      </c>
      <c r="W7" s="6">
        <f t="shared" si="0"/>
        <v>2032</v>
      </c>
      <c r="X7" s="6">
        <f t="shared" si="0"/>
        <v>2033</v>
      </c>
      <c r="Y7" s="6">
        <f t="shared" si="0"/>
        <v>2034</v>
      </c>
      <c r="Z7" s="6">
        <f t="shared" si="0"/>
        <v>2035</v>
      </c>
      <c r="AA7" s="6">
        <f t="shared" si="0"/>
        <v>2036</v>
      </c>
      <c r="AB7" s="6">
        <f t="shared" si="0"/>
        <v>2037</v>
      </c>
      <c r="AC7" s="6">
        <f t="shared" si="0"/>
        <v>2038</v>
      </c>
      <c r="AD7" s="6">
        <f t="shared" si="0"/>
        <v>2039</v>
      </c>
      <c r="AE7" s="6">
        <f t="shared" si="0"/>
        <v>2040</v>
      </c>
      <c r="AF7" s="6">
        <f t="shared" si="0"/>
        <v>2041</v>
      </c>
      <c r="AG7" s="6">
        <f t="shared" si="0"/>
        <v>2042</v>
      </c>
      <c r="AH7" s="6" t="s">
        <v>16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47" customHeight="1">
      <c r="A8" s="1"/>
      <c r="B8" s="7" t="s">
        <v>0</v>
      </c>
      <c r="C8" s="8"/>
      <c r="D8" s="8"/>
      <c r="E8" s="8"/>
      <c r="F8" s="8"/>
      <c r="G8" s="22">
        <v>242</v>
      </c>
      <c r="H8" s="22">
        <v>272</v>
      </c>
      <c r="I8" s="22">
        <v>363</v>
      </c>
      <c r="J8" s="22">
        <v>869.58</v>
      </c>
      <c r="K8" s="22">
        <v>902.93</v>
      </c>
      <c r="L8" s="23"/>
      <c r="M8" s="22">
        <f>K8*(1+M9)</f>
        <v>812.63699999999994</v>
      </c>
      <c r="N8" s="22">
        <f t="shared" ref="N8" si="1">M8*(1+N9)</f>
        <v>812.63699999999994</v>
      </c>
      <c r="O8" s="22">
        <f t="shared" ref="O8" si="2">N8*(1+O9)</f>
        <v>934.5325499999999</v>
      </c>
      <c r="P8" s="22">
        <f t="shared" ref="P8" si="3">O8*(1+P9)</f>
        <v>1056.0217814999999</v>
      </c>
      <c r="Q8" s="22">
        <f t="shared" ref="Q8" si="4">P8*(1+Q9)</f>
        <v>1182.7443952799999</v>
      </c>
      <c r="R8" s="22">
        <f t="shared" ref="R8" si="5">Q8*(1+R9)</f>
        <v>1312.8462787608</v>
      </c>
      <c r="S8" s="22">
        <f t="shared" ref="S8" si="6">R8*(1+S9)</f>
        <v>1444.1309066368801</v>
      </c>
      <c r="T8" s="22">
        <f t="shared" ref="T8" si="7">S8*(1+T9)</f>
        <v>1574.1026882341994</v>
      </c>
      <c r="U8" s="22">
        <f t="shared" ref="U8" si="8">T8*(1+U9)</f>
        <v>1715.7719301752775</v>
      </c>
      <c r="V8" s="22">
        <f t="shared" ref="V8" si="9">U8*(1+V9)</f>
        <v>1853.0336845892998</v>
      </c>
      <c r="W8" s="22">
        <f t="shared" ref="W8" si="10">V8*(1+W9)</f>
        <v>2001.2763793564438</v>
      </c>
      <c r="X8" s="22">
        <f t="shared" ref="X8" si="11">W8*(1+X9)</f>
        <v>2141.3657259113952</v>
      </c>
      <c r="Y8" s="22">
        <f t="shared" ref="Y8" si="12">X8*(1+Y9)</f>
        <v>2291.2613267251932</v>
      </c>
      <c r="Z8" s="22">
        <f t="shared" ref="Z8" si="13">Y8*(1+Z9)</f>
        <v>2451.6496195959567</v>
      </c>
      <c r="AA8" s="22">
        <f t="shared" ref="AA8" si="14">Z8*(1+AA9)</f>
        <v>2598.7485967717143</v>
      </c>
      <c r="AB8" s="22">
        <f t="shared" ref="AB8" si="15">AA8*(1+AB9)</f>
        <v>2754.6735125780174</v>
      </c>
      <c r="AC8" s="22">
        <f t="shared" ref="AC8" si="16">AB8*(1+AC9)</f>
        <v>2892.4071882069184</v>
      </c>
      <c r="AD8" s="22">
        <f t="shared" ref="AD8" si="17">AC8*(1+AD9)</f>
        <v>3037.0275476172642</v>
      </c>
      <c r="AE8" s="22">
        <f t="shared" ref="AE8" si="18">AD8*(1+AE9)</f>
        <v>3158.5086495219548</v>
      </c>
      <c r="AF8" s="22">
        <f t="shared" ref="AF8" si="19">AE8*(1+AF9)</f>
        <v>3284.8489955028331</v>
      </c>
      <c r="AG8" s="22">
        <f t="shared" ref="AG8" si="20">AF8*(1+AG9)</f>
        <v>3383.3944653679182</v>
      </c>
      <c r="AH8" s="2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47" customHeight="1">
      <c r="A9" s="1"/>
      <c r="B9" s="7" t="s">
        <v>1</v>
      </c>
      <c r="C9" s="8"/>
      <c r="D9" s="8"/>
      <c r="E9" s="8"/>
      <c r="F9" s="8"/>
      <c r="G9" s="24"/>
      <c r="H9" s="25">
        <f>H8/G8-1</f>
        <v>0.12396694214876036</v>
      </c>
      <c r="I9" s="25">
        <f>I8/H8-1</f>
        <v>0.33455882352941169</v>
      </c>
      <c r="J9" s="25">
        <f>J8/I8-1</f>
        <v>1.3955371900826448</v>
      </c>
      <c r="K9" s="25">
        <f>K8/J8-1</f>
        <v>3.8351848018583601E-2</v>
      </c>
      <c r="L9" s="23"/>
      <c r="M9" s="26">
        <v>-0.1</v>
      </c>
      <c r="N9" s="26">
        <v>0</v>
      </c>
      <c r="O9" s="26">
        <v>0.15</v>
      </c>
      <c r="P9" s="26">
        <v>0.13</v>
      </c>
      <c r="Q9" s="26">
        <v>0.12</v>
      </c>
      <c r="R9" s="26">
        <v>0.11</v>
      </c>
      <c r="S9" s="26">
        <v>0.1</v>
      </c>
      <c r="T9" s="26">
        <v>0.09</v>
      </c>
      <c r="U9" s="26">
        <v>0.09</v>
      </c>
      <c r="V9" s="26">
        <v>0.08</v>
      </c>
      <c r="W9" s="26">
        <v>0.08</v>
      </c>
      <c r="X9" s="26">
        <v>7.0000000000000007E-2</v>
      </c>
      <c r="Y9" s="26">
        <v>7.0000000000000007E-2</v>
      </c>
      <c r="Z9" s="26">
        <v>7.0000000000000007E-2</v>
      </c>
      <c r="AA9" s="26">
        <v>0.06</v>
      </c>
      <c r="AB9" s="26">
        <v>0.06</v>
      </c>
      <c r="AC9" s="26">
        <v>0.05</v>
      </c>
      <c r="AD9" s="26">
        <v>0.05</v>
      </c>
      <c r="AE9" s="26">
        <v>0.04</v>
      </c>
      <c r="AF9" s="26">
        <v>0.04</v>
      </c>
      <c r="AG9" s="26">
        <v>0.03</v>
      </c>
      <c r="AH9" s="26">
        <v>0.02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47" customHeight="1">
      <c r="A10" s="1"/>
      <c r="B10" s="7" t="s">
        <v>2</v>
      </c>
      <c r="C10" s="8"/>
      <c r="D10" s="8"/>
      <c r="E10" s="8"/>
      <c r="F10" s="8"/>
      <c r="G10" s="25">
        <f>G11/G8</f>
        <v>8.6776859504132234E-2</v>
      </c>
      <c r="H10" s="25">
        <f>H11/H8</f>
        <v>0.11397058823529412</v>
      </c>
      <c r="I10" s="25">
        <f>I11/I8</f>
        <v>0.17630853994490359</v>
      </c>
      <c r="J10" s="25">
        <f>J11/J8</f>
        <v>0.16777064789898569</v>
      </c>
      <c r="K10" s="25">
        <f>K11/K8</f>
        <v>0.20656086296833642</v>
      </c>
      <c r="L10" s="23"/>
      <c r="M10" s="26">
        <v>0.15</v>
      </c>
      <c r="N10" s="26">
        <v>0.15</v>
      </c>
      <c r="O10" s="26">
        <v>0.15</v>
      </c>
      <c r="P10" s="26">
        <v>0.16</v>
      </c>
      <c r="Q10" s="26">
        <v>0.16</v>
      </c>
      <c r="R10" s="26">
        <v>0.16</v>
      </c>
      <c r="S10" s="26">
        <v>0.17</v>
      </c>
      <c r="T10" s="26">
        <v>0.17</v>
      </c>
      <c r="U10" s="26">
        <v>0.18</v>
      </c>
      <c r="V10" s="26">
        <v>0.18</v>
      </c>
      <c r="W10" s="26">
        <v>0.19</v>
      </c>
      <c r="X10" s="26">
        <v>0.19</v>
      </c>
      <c r="Y10" s="26">
        <v>0.2</v>
      </c>
      <c r="Z10" s="26">
        <v>0.2</v>
      </c>
      <c r="AA10" s="26">
        <v>0.21</v>
      </c>
      <c r="AB10" s="26">
        <v>0.21</v>
      </c>
      <c r="AC10" s="26">
        <v>0.22</v>
      </c>
      <c r="AD10" s="26">
        <v>0.22</v>
      </c>
      <c r="AE10" s="26">
        <v>0.23</v>
      </c>
      <c r="AF10" s="26">
        <v>0.24</v>
      </c>
      <c r="AG10" s="26">
        <v>0.25</v>
      </c>
      <c r="AH10" s="25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47" customHeight="1">
      <c r="A11" s="1"/>
      <c r="B11" s="7" t="s">
        <v>3</v>
      </c>
      <c r="C11" s="8"/>
      <c r="D11" s="8"/>
      <c r="E11" s="8"/>
      <c r="F11" s="8"/>
      <c r="G11" s="22">
        <v>21</v>
      </c>
      <c r="H11" s="22">
        <v>31</v>
      </c>
      <c r="I11" s="22">
        <v>64</v>
      </c>
      <c r="J11" s="22">
        <v>145.88999999999999</v>
      </c>
      <c r="K11" s="22">
        <v>186.51</v>
      </c>
      <c r="L11" s="23"/>
      <c r="M11" s="22">
        <f t="shared" ref="M11:AG11" si="21">M8*M10</f>
        <v>121.89554999999999</v>
      </c>
      <c r="N11" s="22">
        <f t="shared" si="21"/>
        <v>121.89554999999999</v>
      </c>
      <c r="O11" s="22">
        <f t="shared" si="21"/>
        <v>140.17988249999999</v>
      </c>
      <c r="P11" s="22">
        <f t="shared" si="21"/>
        <v>168.96348503999999</v>
      </c>
      <c r="Q11" s="22">
        <f t="shared" si="21"/>
        <v>189.23910324479999</v>
      </c>
      <c r="R11" s="22">
        <f t="shared" si="21"/>
        <v>210.05540460172801</v>
      </c>
      <c r="S11" s="22">
        <f t="shared" si="21"/>
        <v>245.50225412826964</v>
      </c>
      <c r="T11" s="22">
        <f t="shared" si="21"/>
        <v>267.59745699981391</v>
      </c>
      <c r="U11" s="22">
        <f t="shared" si="21"/>
        <v>308.83894743154991</v>
      </c>
      <c r="V11" s="22">
        <f t="shared" si="21"/>
        <v>333.54606322607395</v>
      </c>
      <c r="W11" s="22">
        <f t="shared" si="21"/>
        <v>380.24251207772431</v>
      </c>
      <c r="X11" s="22">
        <f t="shared" si="21"/>
        <v>406.85948792316509</v>
      </c>
      <c r="Y11" s="22">
        <f t="shared" si="21"/>
        <v>458.25226534503867</v>
      </c>
      <c r="Z11" s="22">
        <f t="shared" si="21"/>
        <v>490.32992391919134</v>
      </c>
      <c r="AA11" s="22">
        <f t="shared" si="21"/>
        <v>545.73720532206005</v>
      </c>
      <c r="AB11" s="22">
        <f t="shared" si="21"/>
        <v>578.48143764138365</v>
      </c>
      <c r="AC11" s="22">
        <f t="shared" si="21"/>
        <v>636.32958140552205</v>
      </c>
      <c r="AD11" s="22">
        <f t="shared" si="21"/>
        <v>668.14606047579809</v>
      </c>
      <c r="AE11" s="22">
        <f t="shared" si="21"/>
        <v>726.45698939004967</v>
      </c>
      <c r="AF11" s="22">
        <f t="shared" si="21"/>
        <v>788.36375892067986</v>
      </c>
      <c r="AG11" s="22">
        <f t="shared" si="21"/>
        <v>845.84861634197955</v>
      </c>
      <c r="AH11" s="22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47" hidden="1" customHeight="1">
      <c r="A12" s="1"/>
      <c r="B12" s="7" t="s">
        <v>17</v>
      </c>
      <c r="C12" s="8"/>
      <c r="D12" s="8"/>
      <c r="E12" s="8"/>
      <c r="F12" s="8"/>
      <c r="G12" s="22"/>
      <c r="H12" s="22"/>
      <c r="I12" s="22"/>
      <c r="J12" s="22"/>
      <c r="K12" s="22"/>
      <c r="L12" s="23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47" hidden="1" customHeight="1">
      <c r="A13" s="1"/>
      <c r="B13" s="7" t="s">
        <v>18</v>
      </c>
      <c r="C13" s="9"/>
      <c r="D13" s="10"/>
      <c r="E13" s="7" t="s">
        <v>19</v>
      </c>
      <c r="F13" s="8"/>
      <c r="G13" s="22"/>
      <c r="H13" s="22"/>
      <c r="I13" s="22"/>
      <c r="J13" s="22"/>
      <c r="K13" s="22"/>
      <c r="L13" s="23"/>
      <c r="M13" s="22">
        <f>-$D$13*M12</f>
        <v>0</v>
      </c>
      <c r="N13" s="22">
        <f t="shared" ref="N13:AG13" si="22">-$D$13*N12</f>
        <v>0</v>
      </c>
      <c r="O13" s="22">
        <f t="shared" si="22"/>
        <v>0</v>
      </c>
      <c r="P13" s="22">
        <f t="shared" si="22"/>
        <v>0</v>
      </c>
      <c r="Q13" s="22">
        <f t="shared" si="22"/>
        <v>0</v>
      </c>
      <c r="R13" s="22">
        <f t="shared" si="22"/>
        <v>0</v>
      </c>
      <c r="S13" s="22">
        <f t="shared" si="22"/>
        <v>0</v>
      </c>
      <c r="T13" s="22">
        <f t="shared" si="22"/>
        <v>0</v>
      </c>
      <c r="U13" s="22">
        <f t="shared" si="22"/>
        <v>0</v>
      </c>
      <c r="V13" s="22">
        <f t="shared" si="22"/>
        <v>0</v>
      </c>
      <c r="W13" s="22">
        <f t="shared" si="22"/>
        <v>0</v>
      </c>
      <c r="X13" s="22">
        <f t="shared" si="22"/>
        <v>0</v>
      </c>
      <c r="Y13" s="22">
        <f t="shared" si="22"/>
        <v>0</v>
      </c>
      <c r="Z13" s="22">
        <f t="shared" si="22"/>
        <v>0</v>
      </c>
      <c r="AA13" s="22">
        <f t="shared" si="22"/>
        <v>0</v>
      </c>
      <c r="AB13" s="22">
        <f t="shared" si="22"/>
        <v>0</v>
      </c>
      <c r="AC13" s="22">
        <f t="shared" si="22"/>
        <v>0</v>
      </c>
      <c r="AD13" s="22">
        <f t="shared" si="22"/>
        <v>0</v>
      </c>
      <c r="AE13" s="22">
        <f t="shared" si="22"/>
        <v>0</v>
      </c>
      <c r="AF13" s="22">
        <f t="shared" si="22"/>
        <v>0</v>
      </c>
      <c r="AG13" s="22">
        <f t="shared" si="22"/>
        <v>0</v>
      </c>
      <c r="AH13" s="22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47" customHeight="1">
      <c r="A14" s="1"/>
      <c r="B14" s="7" t="s">
        <v>20</v>
      </c>
      <c r="C14" s="9"/>
      <c r="D14" s="10">
        <v>0.3</v>
      </c>
      <c r="E14" s="7" t="s">
        <v>21</v>
      </c>
      <c r="F14" s="8"/>
      <c r="G14" s="22">
        <v>14</v>
      </c>
      <c r="H14" s="22">
        <v>26</v>
      </c>
      <c r="I14" s="22">
        <v>50</v>
      </c>
      <c r="J14" s="22">
        <v>95.41</v>
      </c>
      <c r="K14" s="22">
        <v>125.96</v>
      </c>
      <c r="L14" s="23"/>
      <c r="M14" s="22">
        <f t="shared" ref="M14:AG14" si="23">(M11+M13)*(1-$D$14)</f>
        <v>85.32688499999999</v>
      </c>
      <c r="N14" s="22">
        <f t="shared" si="23"/>
        <v>85.32688499999999</v>
      </c>
      <c r="O14" s="22">
        <f t="shared" si="23"/>
        <v>98.125917749999985</v>
      </c>
      <c r="P14" s="22">
        <f t="shared" si="23"/>
        <v>118.27443952799999</v>
      </c>
      <c r="Q14" s="22">
        <f t="shared" si="23"/>
        <v>132.46737227135998</v>
      </c>
      <c r="R14" s="22">
        <f t="shared" si="23"/>
        <v>147.0387832212096</v>
      </c>
      <c r="S14" s="22">
        <f t="shared" si="23"/>
        <v>171.85157788978873</v>
      </c>
      <c r="T14" s="22">
        <f t="shared" si="23"/>
        <v>187.31821989986972</v>
      </c>
      <c r="U14" s="22">
        <f t="shared" si="23"/>
        <v>216.18726320208492</v>
      </c>
      <c r="V14" s="22">
        <f t="shared" si="23"/>
        <v>233.48224425825174</v>
      </c>
      <c r="W14" s="22">
        <f t="shared" si="23"/>
        <v>266.16975845440703</v>
      </c>
      <c r="X14" s="22">
        <f t="shared" si="23"/>
        <v>284.80164154621554</v>
      </c>
      <c r="Y14" s="22">
        <f t="shared" si="23"/>
        <v>320.77658574152707</v>
      </c>
      <c r="Z14" s="22">
        <f t="shared" si="23"/>
        <v>343.23094674343395</v>
      </c>
      <c r="AA14" s="22">
        <f t="shared" si="23"/>
        <v>382.01604372544199</v>
      </c>
      <c r="AB14" s="22">
        <f t="shared" si="23"/>
        <v>404.93700634896851</v>
      </c>
      <c r="AC14" s="22">
        <f t="shared" si="23"/>
        <v>445.43070698386543</v>
      </c>
      <c r="AD14" s="22">
        <f t="shared" si="23"/>
        <v>467.70224233305862</v>
      </c>
      <c r="AE14" s="22">
        <f t="shared" si="23"/>
        <v>508.51989257303472</v>
      </c>
      <c r="AF14" s="22">
        <f t="shared" si="23"/>
        <v>551.85463124447585</v>
      </c>
      <c r="AG14" s="22">
        <f t="shared" si="23"/>
        <v>592.09403143938562</v>
      </c>
      <c r="AH14" s="28">
        <f>AG14*(1+AH9)/(G22-AH9)</f>
        <v>7549.1989008521668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50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1"/>
      <c r="M15" s="8"/>
      <c r="N15" s="8"/>
      <c r="O15" s="21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50" customHeight="1">
      <c r="A16" s="1"/>
      <c r="B16" s="11"/>
      <c r="C16" s="1"/>
      <c r="D16" s="1"/>
      <c r="E16" s="1"/>
      <c r="F16" s="1"/>
      <c r="G16" s="1"/>
      <c r="H16" s="1"/>
      <c r="I16" s="1"/>
      <c r="J16" s="12"/>
      <c r="K16" s="1"/>
      <c r="L16" s="1"/>
      <c r="M16" s="1"/>
      <c r="N16" s="1"/>
      <c r="O16" s="1"/>
      <c r="P16" s="1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39" customHeight="1">
      <c r="A17" s="1"/>
      <c r="B17" s="14"/>
      <c r="C17" s="14"/>
      <c r="D17" s="14"/>
      <c r="E17" s="15"/>
      <c r="F17" s="14"/>
      <c r="G17" s="16">
        <v>44831</v>
      </c>
      <c r="H17" s="6" t="s">
        <v>4</v>
      </c>
      <c r="I17" s="1"/>
      <c r="J17" s="1"/>
      <c r="K17" s="1"/>
      <c r="L17" s="1"/>
      <c r="M17" s="1"/>
      <c r="N17" s="1"/>
      <c r="O17" s="1"/>
      <c r="P17" s="17" t="s">
        <v>10</v>
      </c>
      <c r="Q17" s="1"/>
      <c r="R17" s="18" t="s">
        <v>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47" customHeight="1">
      <c r="A18" s="1"/>
      <c r="B18" s="7" t="s">
        <v>6</v>
      </c>
      <c r="C18" s="8"/>
      <c r="D18" s="8"/>
      <c r="E18" s="8"/>
      <c r="F18" s="8"/>
      <c r="G18" s="22">
        <f>G19*G20</f>
        <v>2616.0924239999999</v>
      </c>
      <c r="H18" s="22">
        <f>NPV($G$22,M14:AG14)*(1+$G$22)+AH14/(1+G22)^(2042-2022)</f>
        <v>3090.5568279101412</v>
      </c>
      <c r="I18" s="1"/>
      <c r="J18" s="7" t="s">
        <v>11</v>
      </c>
      <c r="K18" s="8"/>
      <c r="L18" s="8"/>
      <c r="M18" s="8"/>
      <c r="N18" s="22">
        <f>W14</f>
        <v>266.16975845440703</v>
      </c>
      <c r="O18" s="1"/>
      <c r="P18" s="19">
        <v>0.04</v>
      </c>
      <c r="Q18" s="20"/>
      <c r="R18" s="25">
        <f t="shared" ref="R18:R26" si="24">((NPV(P18,$M$14:$AG$14)*(1+P18)+($AG$14*(1+$AH$9)/(P18-$AH$9))/(1+P18)^(2042-2022))/$H$19)/$G$20-1</f>
        <v>5.6728474312203083</v>
      </c>
      <c r="S18" s="1"/>
      <c r="T18" s="1"/>
      <c r="U18" s="1"/>
      <c r="V18" s="1"/>
      <c r="W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47" customHeight="1">
      <c r="A19" s="1"/>
      <c r="B19" s="7" t="s">
        <v>5</v>
      </c>
      <c r="C19" s="8"/>
      <c r="D19" s="8"/>
      <c r="E19" s="8"/>
      <c r="F19" s="8"/>
      <c r="G19" s="29">
        <v>40.421700000000001</v>
      </c>
      <c r="H19" s="22">
        <f>G19</f>
        <v>40.421700000000001</v>
      </c>
      <c r="I19" s="1"/>
      <c r="J19" s="7" t="s">
        <v>12</v>
      </c>
      <c r="K19" s="8"/>
      <c r="L19" s="8"/>
      <c r="M19" s="8"/>
      <c r="N19" s="27">
        <v>20</v>
      </c>
      <c r="O19" s="1"/>
      <c r="P19" s="19">
        <v>0.06</v>
      </c>
      <c r="Q19" s="20"/>
      <c r="R19" s="25">
        <f t="shared" si="24"/>
        <v>1.9225662945097635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47" customHeight="1">
      <c r="A20" s="1"/>
      <c r="B20" s="7" t="s">
        <v>7</v>
      </c>
      <c r="C20" s="8"/>
      <c r="D20" s="8"/>
      <c r="E20" s="8"/>
      <c r="F20" s="8"/>
      <c r="G20" s="30">
        <v>64.72</v>
      </c>
      <c r="H20" s="22">
        <f>H18/H19</f>
        <v>76.457863670012429</v>
      </c>
      <c r="I20" s="1"/>
      <c r="J20" s="7" t="s">
        <v>13</v>
      </c>
      <c r="K20" s="8"/>
      <c r="L20" s="8"/>
      <c r="M20" s="8"/>
      <c r="N20" s="26">
        <v>0.4</v>
      </c>
      <c r="O20" s="1"/>
      <c r="P20" s="19">
        <v>0.08</v>
      </c>
      <c r="Q20" s="20"/>
      <c r="R20" s="25">
        <f>((NPV(P20,$M$14:$AG$14)*(1+P20)+($AG$14*(1+$AH$9)/(P20-$AH$9))/(1+P20)^(2042-2022))/$H$19)/$G$20-1</f>
        <v>0.73765311828883995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47" customHeight="1">
      <c r="A21" s="1"/>
      <c r="B21" s="7" t="s">
        <v>8</v>
      </c>
      <c r="C21" s="8"/>
      <c r="D21" s="8"/>
      <c r="E21" s="8"/>
      <c r="F21" s="8"/>
      <c r="G21" s="31"/>
      <c r="H21" s="25">
        <f>H20/G20-1</f>
        <v>0.18136377734877063</v>
      </c>
      <c r="I21" s="1"/>
      <c r="J21" s="7" t="s">
        <v>14</v>
      </c>
      <c r="K21" s="8"/>
      <c r="L21" s="8"/>
      <c r="M21" s="8"/>
      <c r="N21" s="22">
        <f>G18</f>
        <v>2616.0924239999999</v>
      </c>
      <c r="O21" s="1"/>
      <c r="P21" s="19">
        <v>0.1</v>
      </c>
      <c r="Q21" s="20"/>
      <c r="R21" s="25">
        <f t="shared" si="24"/>
        <v>0.18136377734877063</v>
      </c>
      <c r="S21" s="1"/>
      <c r="T21" s="1"/>
      <c r="U21" s="1"/>
      <c r="V21" s="1"/>
      <c r="W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47" customHeight="1">
      <c r="A22" s="1"/>
      <c r="B22" s="7" t="s">
        <v>9</v>
      </c>
      <c r="C22" s="8"/>
      <c r="D22" s="8"/>
      <c r="E22" s="8"/>
      <c r="F22" s="8"/>
      <c r="G22" s="26">
        <v>0.1</v>
      </c>
      <c r="H22" s="31"/>
      <c r="I22" s="1"/>
      <c r="J22" s="7" t="s">
        <v>22</v>
      </c>
      <c r="K22" s="8"/>
      <c r="L22" s="8"/>
      <c r="M22" s="8"/>
      <c r="N22" s="22">
        <f>SUM(M14:W14)*N20</f>
        <v>696.62773858998867</v>
      </c>
      <c r="O22" s="1"/>
      <c r="P22" s="19">
        <v>0.12</v>
      </c>
      <c r="Q22" s="20"/>
      <c r="R22" s="25">
        <f t="shared" si="24"/>
        <v>-0.1307615818474186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47" customHeight="1">
      <c r="A23" s="1"/>
      <c r="B23" s="8"/>
      <c r="C23" s="8"/>
      <c r="D23" s="8"/>
      <c r="E23" s="8"/>
      <c r="F23" s="8"/>
      <c r="G23" s="8"/>
      <c r="H23" s="8"/>
      <c r="I23" s="1"/>
      <c r="J23" s="7" t="s">
        <v>23</v>
      </c>
      <c r="K23" s="8"/>
      <c r="L23" s="8"/>
      <c r="M23" s="8"/>
      <c r="N23" s="22">
        <f>N18*N19</f>
        <v>5323.3951690881404</v>
      </c>
      <c r="O23" s="1"/>
      <c r="P23" s="19">
        <v>0.14000000000000001</v>
      </c>
      <c r="Q23" s="20"/>
      <c r="R23" s="25">
        <f t="shared" si="24"/>
        <v>-0.32519814046928541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47" customHeight="1">
      <c r="A24" s="1"/>
      <c r="B24" s="1"/>
      <c r="C24" s="1"/>
      <c r="D24" s="1"/>
      <c r="E24" s="1"/>
      <c r="F24" s="1"/>
      <c r="G24" s="1"/>
      <c r="H24" s="1"/>
      <c r="I24" s="1"/>
      <c r="J24" s="7" t="s">
        <v>24</v>
      </c>
      <c r="K24" s="8"/>
      <c r="L24" s="8"/>
      <c r="M24" s="8"/>
      <c r="N24" s="22">
        <f>N23+N22</f>
        <v>6020.0229076781288</v>
      </c>
      <c r="O24" s="1"/>
      <c r="P24" s="19">
        <v>0.16</v>
      </c>
      <c r="Q24" s="20"/>
      <c r="R24" s="25">
        <f t="shared" si="24"/>
        <v>-0.45513686062830849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47" customHeight="1">
      <c r="A25" s="1"/>
      <c r="B25" s="1"/>
      <c r="C25" s="1"/>
      <c r="D25" s="1"/>
      <c r="E25" s="1"/>
      <c r="F25" s="1"/>
      <c r="G25" s="1"/>
      <c r="H25" s="1"/>
      <c r="I25" s="1"/>
      <c r="J25" s="7" t="s">
        <v>15</v>
      </c>
      <c r="K25" s="8"/>
      <c r="L25" s="8"/>
      <c r="M25" s="8"/>
      <c r="N25" s="25">
        <f>(N24/N21)^0.1-1</f>
        <v>8.6912306544865148E-2</v>
      </c>
      <c r="O25" s="1"/>
      <c r="P25" s="19">
        <v>0.18</v>
      </c>
      <c r="Q25" s="20"/>
      <c r="R25" s="25">
        <f t="shared" si="24"/>
        <v>-0.54654322323490845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47" customHeight="1">
      <c r="A26" s="1"/>
      <c r="B26" s="1"/>
      <c r="C26" s="1"/>
      <c r="D26" s="1"/>
      <c r="E26" s="1"/>
      <c r="F26" s="1"/>
      <c r="G26" s="1"/>
      <c r="H26" s="1"/>
      <c r="I26" s="1"/>
      <c r="J26" s="8"/>
      <c r="K26" s="8"/>
      <c r="L26" s="8"/>
      <c r="M26" s="8"/>
      <c r="N26" s="8"/>
      <c r="O26" s="1"/>
      <c r="P26" s="19">
        <v>0.2</v>
      </c>
      <c r="Q26" s="20"/>
      <c r="R26" s="25">
        <f t="shared" si="24"/>
        <v>-0.61344051028990543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8"/>
      <c r="R27" s="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20">
      <c r="A29" s="1"/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</sheetData>
  <conditionalFormatting sqref="R18:R26">
    <cfRule type="cellIs" dxfId="5" priority="6" operator="greaterThanOrEqual">
      <formula>0</formula>
    </cfRule>
    <cfRule type="cellIs" dxfId="4" priority="5" operator="lessThan">
      <formula>0</formula>
    </cfRule>
  </conditionalFormatting>
  <conditionalFormatting sqref="H21">
    <cfRule type="cellIs" dxfId="3" priority="4" operator="greaterThanOrEqual">
      <formula>0</formula>
    </cfRule>
    <cfRule type="cellIs" dxfId="2" priority="3" operator="lessThan">
      <formula>0</formula>
    </cfRule>
  </conditionalFormatting>
  <conditionalFormatting sqref="N25">
    <cfRule type="cellIs" dxfId="1" priority="2" operator="greaterThanOrEqual">
      <formula>0</formula>
    </cfRule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2022-03-10T22:40:31Z</dcterms:created>
  <dcterms:modified xsi:type="dcterms:W3CDTF">2022-10-05T11:44:26Z</dcterms:modified>
</cp:coreProperties>
</file>